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<sst xmlns="http://schemas.openxmlformats.org/spreadsheetml/2006/main" count="165" uniqueCount="113">
  <si>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</si>
  <si>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</si>
  <si>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</si>
  <si>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</si>
  <si>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</si>
  <si>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</si>
  <si>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</si>
  <si>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</si>
  <si>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</si>
  <si>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</si>
  <si>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</si>
  <si>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</si>
  <si>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</si>
  <si>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</si>
  <si>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</si>
  <si>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</si>
  <si>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</si>
  <si>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</si>
  <si>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</si>
  <si>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</si>
  <si>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</si>
  <si>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</si>
  <si>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</si>
  <si>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</si>
  <si>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</si>
  <si>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</si>
  <si>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</si>
  <si>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</si>
  <si>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</si>
  <si>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</si>
  <si>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</si>
  <si>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</si>
  <si>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</si>
  <si>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</si>
  <si>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</si>
  <si>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</si>
  <si>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</si>
  <si>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</si>
  <si>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</si>
  <si>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</si>
  <si>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</si>
  <si>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</si>
  <si>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</si>
  <si>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</si>
  <si>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</si>
  <si>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</si>
  <si>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</si>
  <si>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</si>
  <si>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</si>
  <si>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</si>
  <si>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</si>
  <si>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</si>
  <si>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</si>
  <si>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</si>
  <si>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</si>
  <si>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</si>
  <si>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</si>
  <si>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</si>
  <si>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</si>
  <si>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</si>
  <si>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</si>
  <si>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</si>
  <si>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</si>
  <si>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</si>
  <si>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</si>
  <si>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</si>
  <si>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</si>
  <si>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</si>
  <si>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</si>
  <si>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</si>
  <si>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</si>
  <si>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</si>
  <si>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</si>
  <si>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</si>
  <si>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</si>
  <si>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</si>
  <si>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</si>
  <si>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</si>
  <si>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</si>
  <si>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</si>
  <si>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</si>
  <si>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</si>
  <si>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</si>
  <si>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</si>
  <si>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</si>
  <si>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</si>
  <si>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</si>
  <si>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</si>
  <si>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</si>
  <si>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</si>
  <si>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</si>
  <si>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</si>
  <si>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</si>
  <si>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</si>
  <si>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</si>
  <si>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</si>
  <si>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</si>
  <si>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</si>
  <si>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</si>
  <si>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</si>
  <si>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</si>
  <si>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</si>
  <si>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</si>
  <si>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</si>
  <si>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</si>
  <si>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</si>
  <si>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</si>
  <si>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</si>
  <si>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</si>
  <si>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</si>
  <si>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</si>
  <si>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</si>
  <si>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11.05.2018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</si>
</sst>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63580.600000000006</c:v>
                </c:pt>
                <c:pt idx="1">
                  <c:v>60837.30999999998</c:v>
                </c:pt>
                <c:pt idx="2">
                  <c:v>925.6</c:v>
                </c:pt>
                <c:pt idx="3">
                  <c:v>1817.6900000000228</c:v>
                </c:pt>
              </c:numCache>
            </c:numRef>
          </c:val>
          <c:shape val="box"/>
        </c:ser>
        <c:shape val="box"/>
        <c:axId val="53382725"/>
        <c:axId val="10682478"/>
      </c:bar3D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225"/>
          <c:w val="0.8435"/>
          <c:h val="0.6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259493.99999999997</c:v>
                </c:pt>
                <c:pt idx="1">
                  <c:v>78352.4</c:v>
                </c:pt>
                <c:pt idx="2">
                  <c:v>199312.70000000004</c:v>
                </c:pt>
                <c:pt idx="3">
                  <c:v>9.600000000000001</c:v>
                </c:pt>
                <c:pt idx="4">
                  <c:v>8657.7</c:v>
                </c:pt>
                <c:pt idx="5">
                  <c:v>44935.30000000001</c:v>
                </c:pt>
                <c:pt idx="6">
                  <c:v>4265.299999999999</c:v>
                </c:pt>
                <c:pt idx="7">
                  <c:v>2313.399999999918</c:v>
                </c:pt>
              </c:numCache>
            </c:numRef>
          </c:val>
          <c:shape val="box"/>
        </c:ser>
        <c:shape val="box"/>
        <c:axId val="29033439"/>
        <c:axId val="59974360"/>
      </c:bar3D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133812.39999999997</c:v>
                </c:pt>
                <c:pt idx="1">
                  <c:v>86464.50000000001</c:v>
                </c:pt>
                <c:pt idx="2">
                  <c:v>133812.39999999997</c:v>
                </c:pt>
              </c:numCache>
            </c:numRef>
          </c:val>
          <c:shape val="box"/>
        </c:ser>
        <c:shape val="box"/>
        <c:axId val="2898329"/>
        <c:axId val="26084962"/>
      </c:bar3D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6956.900000000001</c:v>
                </c:pt>
                <c:pt idx="1">
                  <c:v>3869</c:v>
                </c:pt>
                <c:pt idx="2">
                  <c:v>15.5</c:v>
                </c:pt>
                <c:pt idx="3">
                  <c:v>554.3</c:v>
                </c:pt>
                <c:pt idx="4">
                  <c:v>163.29999999999998</c:v>
                </c:pt>
                <c:pt idx="5">
                  <c:v>25.5</c:v>
                </c:pt>
                <c:pt idx="6">
                  <c:v>2329.3</c:v>
                </c:pt>
              </c:numCache>
            </c:numRef>
          </c:val>
          <c:shape val="box"/>
        </c:ser>
        <c:shape val="box"/>
        <c:axId val="33438067"/>
        <c:axId val="32507148"/>
      </c:bar3D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975"/>
          <c:w val="0.8637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9866.599999999999</c:v>
                </c:pt>
                <c:pt idx="1">
                  <c:v>5795.000000000001</c:v>
                </c:pt>
                <c:pt idx="3">
                  <c:v>329.90000000000003</c:v>
                </c:pt>
                <c:pt idx="4">
                  <c:v>418.3</c:v>
                </c:pt>
                <c:pt idx="5">
                  <c:v>440</c:v>
                </c:pt>
                <c:pt idx="6">
                  <c:v>2883.3999999999974</c:v>
                </c:pt>
              </c:numCache>
            </c:numRef>
          </c:val>
          <c:shape val="box"/>
        </c:ser>
        <c:shape val="box"/>
        <c:axId val="24128877"/>
        <c:axId val="15833302"/>
      </c:bar3D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3302"/>
        <c:crosses val="autoZero"/>
        <c:auto val="1"/>
        <c:lblOffset val="100"/>
        <c:tickLblSkip val="2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1208.8000000000002</c:v>
                </c:pt>
                <c:pt idx="1">
                  <c:v>970.6</c:v>
                </c:pt>
                <c:pt idx="3">
                  <c:v>162.89999999999998</c:v>
                </c:pt>
                <c:pt idx="4">
                  <c:v>0</c:v>
                </c:pt>
                <c:pt idx="5">
                  <c:v>75.30000000000018</c:v>
                </c:pt>
              </c:numCache>
            </c:numRef>
          </c:val>
          <c:shape val="box"/>
        </c:ser>
        <c:shape val="box"/>
        <c:axId val="8281991"/>
        <c:axId val="7429056"/>
      </c:bar3D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12982.900000000001</c:v>
                </c:pt>
              </c:numCache>
            </c:numRef>
          </c:val>
          <c:shape val="box"/>
        </c:ser>
        <c:shape val="box"/>
        <c:axId val="66861505"/>
        <c:axId val="64882634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259493.99999999997</c:v>
                </c:pt>
                <c:pt idx="1">
                  <c:v>133812.39999999997</c:v>
                </c:pt>
                <c:pt idx="2">
                  <c:v>6956.900000000001</c:v>
                </c:pt>
                <c:pt idx="3">
                  <c:v>9866.599999999999</c:v>
                </c:pt>
                <c:pt idx="4">
                  <c:v>1208.8000000000002</c:v>
                </c:pt>
                <c:pt idx="5">
                  <c:v>63580.600000000006</c:v>
                </c:pt>
                <c:pt idx="6">
                  <c:v>12982.900000000001</c:v>
                </c:pt>
              </c:numCache>
            </c:numRef>
          </c:val>
          <c:shape val="box"/>
        </c:ser>
        <c:shape val="box"/>
        <c:axId val="47072795"/>
        <c:axId val="21001972"/>
      </c:bar3D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1053520.9999999995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275238.21</c:v>
                </c:pt>
                <c:pt idx="1">
                  <c:v>52865.00000000002</c:v>
                </c:pt>
                <c:pt idx="2">
                  <c:v>9021.4</c:v>
                </c:pt>
                <c:pt idx="3">
                  <c:v>8040.399999999999</c:v>
                </c:pt>
                <c:pt idx="4">
                  <c:v>9.600000000000001</c:v>
                </c:pt>
                <c:pt idx="5">
                  <c:v>230648.18999999977</c:v>
                </c:pt>
              </c:numCache>
            </c:numRef>
          </c:val>
          <c:shape val="box"/>
        </c:ser>
        <c:shape val="box"/>
        <c:axId val="54800021"/>
        <c:axId val="23438142"/>
      </c:bar3D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" sqref="K11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111</v>
      </c>
      <c r="C3" s="167" t="s">
        <v>106</v>
      </c>
      <c r="D3" s="167" t="s">
        <v>22</v>
      </c>
      <c r="E3" s="167" t="s">
        <v>21</v>
      </c>
      <c r="F3" s="167" t="s">
        <v>109</v>
      </c>
      <c r="G3" s="167" t="s">
        <v>107</v>
      </c>
      <c r="H3" s="167" t="s">
        <v>110</v>
      </c>
      <c r="I3" s="167" t="s">
        <v>108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9" ht="39" customHeight="1" thickBot="1">
      <c r="A5" s="172"/>
      <c r="B5" s="175"/>
      <c r="C5" s="169"/>
      <c r="D5" s="169"/>
      <c r="E5" s="169"/>
      <c r="F5" s="169"/>
      <c r="G5" s="169"/>
      <c r="H5" s="169"/>
      <c r="I5" s="169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</f>
        <v>259493.99999999997</v>
      </c>
      <c r="E6" s="3">
        <f>D6/D153*100</f>
        <v>45.06490538408692</v>
      </c>
      <c r="F6" s="3">
        <f>D6/B6*100</f>
        <v>70.83144638455519</v>
      </c>
      <c r="G6" s="3">
        <f aca="true" t="shared" si="0" ref="G6:G43">D6/C6*100</f>
        <v>31.36633462306947</v>
      </c>
      <c r="H6" s="40">
        <f>B6-D6</f>
        <v>106860.23000000001</v>
      </c>
      <c r="I6" s="40">
        <f aca="true" t="shared" si="1" ref="I6:I43">C6-D6</f>
        <v>567807</v>
      </c>
      <c r="J6" s="93"/>
      <c r="K6" s="151"/>
    </row>
    <row r="7" spans="1:12" s="94" customFormat="1" ht="18">
      <c r="A7" s="138" t="s">
        <v>81</v>
      </c>
      <c r="B7" s="139">
        <v>115792.7</v>
      </c>
      <c r="C7" s="140">
        <v>262517.6</v>
      </c>
      <c r="D7" s="141">
        <f>8282.7+10875.2+9132.6+9963.6+4.3+9215.1+9968.6+9459.9+11450.4</f>
        <v>78352.4</v>
      </c>
      <c r="E7" s="142">
        <f>D7/D6*100</f>
        <v>30.19430121698382</v>
      </c>
      <c r="F7" s="142">
        <f>D7/B7*100</f>
        <v>67.66609639467772</v>
      </c>
      <c r="G7" s="142">
        <f>D7/C7*100</f>
        <v>29.846532194412873</v>
      </c>
      <c r="H7" s="141">
        <f>B7-D7</f>
        <v>37440.3</v>
      </c>
      <c r="I7" s="141">
        <f t="shared" si="1"/>
        <v>184165.19999999998</v>
      </c>
      <c r="K7" s="151"/>
      <c r="L7" s="137"/>
    </row>
    <row r="8" spans="1:12" s="93" customFormat="1" ht="18">
      <c r="A8" s="100" t="s">
        <v>3</v>
      </c>
      <c r="B8" s="124">
        <v>278938</v>
      </c>
      <c r="C8" s="125">
        <f>649221.9+8415.5</f>
        <v>657637.4</v>
      </c>
      <c r="D8" s="102">
        <f>18784.8+17058.5+10875.2+340.5+963.8+9132.6+10728.8+20670.9+9963.6+30.7+4.3+37.1+20227.5+2+9968.6+19814.4+11230.1+9459.9+20.4+27982.6+1967.7+0.6+48.1</f>
        <v>199312.70000000004</v>
      </c>
      <c r="E8" s="104">
        <f>D8/D6*100</f>
        <v>76.80821136519536</v>
      </c>
      <c r="F8" s="104">
        <f>D8/B8*100</f>
        <v>71.45412242147002</v>
      </c>
      <c r="G8" s="104">
        <f t="shared" si="0"/>
        <v>30.30738519433354</v>
      </c>
      <c r="H8" s="102">
        <f>B8-D8</f>
        <v>79625.29999999996</v>
      </c>
      <c r="I8" s="102">
        <f t="shared" si="1"/>
        <v>458324.69999999995</v>
      </c>
      <c r="K8" s="151"/>
      <c r="L8" s="137"/>
    </row>
    <row r="9" spans="1:12" s="93" customFormat="1" ht="18">
      <c r="A9" s="100" t="s">
        <v>2</v>
      </c>
      <c r="B9" s="124">
        <v>30.8</v>
      </c>
      <c r="C9" s="125">
        <v>97.7</v>
      </c>
      <c r="D9" s="102">
        <f>3.4+5.4+0.8</f>
        <v>9.600000000000001</v>
      </c>
      <c r="E9" s="126">
        <f>D9/D6*100</f>
        <v>0.0036995075030636557</v>
      </c>
      <c r="F9" s="104">
        <f>D9/B9*100</f>
        <v>31.168831168831172</v>
      </c>
      <c r="G9" s="104">
        <f t="shared" si="0"/>
        <v>9.825997952917094</v>
      </c>
      <c r="H9" s="102">
        <f aca="true" t="shared" si="2" ref="H9:H43">B9-D9</f>
        <v>21.2</v>
      </c>
      <c r="I9" s="102">
        <f t="shared" si="1"/>
        <v>88.1</v>
      </c>
      <c r="K9" s="151"/>
      <c r="L9" s="137"/>
    </row>
    <row r="10" spans="1:12" s="93" customFormat="1" ht="18">
      <c r="A10" s="100" t="s">
        <v>1</v>
      </c>
      <c r="B10" s="124">
        <f>20572.4-9.6</f>
        <v>20562.800000000003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</f>
        <v>8657.7</v>
      </c>
      <c r="E10" s="104">
        <f>D10/D6*100</f>
        <v>3.3363777197160633</v>
      </c>
      <c r="F10" s="104">
        <f aca="true" t="shared" si="3" ref="F10:F41">D10/B10*100</f>
        <v>42.10370183049001</v>
      </c>
      <c r="G10" s="104">
        <f t="shared" si="0"/>
        <v>19.507408475584477</v>
      </c>
      <c r="H10" s="102">
        <f t="shared" si="2"/>
        <v>11905.100000000002</v>
      </c>
      <c r="I10" s="102">
        <f t="shared" si="1"/>
        <v>35723.90000000001</v>
      </c>
      <c r="K10" s="151"/>
      <c r="L10" s="137"/>
    </row>
    <row r="11" spans="1:12" s="93" customFormat="1" ht="18">
      <c r="A11" s="100" t="s">
        <v>0</v>
      </c>
      <c r="B11" s="124">
        <v>50855.85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</f>
        <v>44935.30000000001</v>
      </c>
      <c r="E11" s="104">
        <f>D11/D6*100</f>
        <v>17.316508281501697</v>
      </c>
      <c r="F11" s="104">
        <f t="shared" si="3"/>
        <v>88.35817315018825</v>
      </c>
      <c r="G11" s="104">
        <f t="shared" si="0"/>
        <v>50.96299975956197</v>
      </c>
      <c r="H11" s="102">
        <f t="shared" si="2"/>
        <v>5920.549999999988</v>
      </c>
      <c r="I11" s="102">
        <f t="shared" si="1"/>
        <v>43237.099999999984</v>
      </c>
      <c r="K11" s="151"/>
      <c r="L11" s="137"/>
    </row>
    <row r="12" spans="1:12" s="93" customFormat="1" ht="18">
      <c r="A12" s="100" t="s">
        <v>14</v>
      </c>
      <c r="B12" s="124">
        <v>5554.2</v>
      </c>
      <c r="C12" s="125">
        <v>12738</v>
      </c>
      <c r="D12" s="102">
        <f>874.5+251.8+346.3+159.7+538.5+10.6+57+168.9+31.7+165.3+10.6+439.5+199.1+10.6+10.6+19+325.9+10.6+160.6+453.5-0.1+21.1</f>
        <v>4265.299999999999</v>
      </c>
      <c r="E12" s="104">
        <f>D12/D6*100</f>
        <v>1.6436988909184795</v>
      </c>
      <c r="F12" s="104">
        <f t="shared" si="3"/>
        <v>76.79413776961577</v>
      </c>
      <c r="G12" s="104">
        <f t="shared" si="0"/>
        <v>33.48484848484848</v>
      </c>
      <c r="H12" s="102">
        <f>B12-D12</f>
        <v>1288.9000000000005</v>
      </c>
      <c r="I12" s="102">
        <f t="shared" si="1"/>
        <v>8472.7</v>
      </c>
      <c r="K12" s="151"/>
      <c r="L12" s="137"/>
    </row>
    <row r="13" spans="1:12" s="93" customFormat="1" ht="18.75" thickBot="1">
      <c r="A13" s="100" t="s">
        <v>27</v>
      </c>
      <c r="B13" s="125">
        <f>B6-B8-B9-B10-B11-B12</f>
        <v>10412.579999999976</v>
      </c>
      <c r="C13" s="125">
        <f>C6-C8-C9-C10-C11-C12</f>
        <v>24273.899999999965</v>
      </c>
      <c r="D13" s="125">
        <f>D6-D8-D9-D10-D11-D12</f>
        <v>2313.399999999918</v>
      </c>
      <c r="E13" s="104">
        <f>D13/D6*100</f>
        <v>0.8915042351653286</v>
      </c>
      <c r="F13" s="104">
        <f t="shared" si="3"/>
        <v>22.217356313228066</v>
      </c>
      <c r="G13" s="104">
        <f t="shared" si="0"/>
        <v>9.530400965645903</v>
      </c>
      <c r="H13" s="102">
        <f t="shared" si="2"/>
        <v>8099.1800000000585</v>
      </c>
      <c r="I13" s="102">
        <f t="shared" si="1"/>
        <v>21960.500000000047</v>
      </c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177295.6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</f>
        <v>133812.39999999997</v>
      </c>
      <c r="E18" s="3">
        <f>D18/D153*100</f>
        <v>23.238468501073594</v>
      </c>
      <c r="F18" s="3">
        <f>D18/B18*100</f>
        <v>75.47417984428263</v>
      </c>
      <c r="G18" s="3">
        <f t="shared" si="0"/>
        <v>31.548255752956187</v>
      </c>
      <c r="H18" s="40">
        <f>B18-D18</f>
        <v>43483.20000000004</v>
      </c>
      <c r="I18" s="40">
        <f t="shared" si="1"/>
        <v>290339.10000000003</v>
      </c>
      <c r="J18" s="93"/>
      <c r="K18" s="151"/>
    </row>
    <row r="19" spans="1:13" s="94" customFormat="1" ht="18">
      <c r="A19" s="138" t="s">
        <v>82</v>
      </c>
      <c r="B19" s="139">
        <v>110014.6</v>
      </c>
      <c r="C19" s="140">
        <v>226186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</f>
        <v>86464.50000000001</v>
      </c>
      <c r="E19" s="142">
        <f>D19/D18*100</f>
        <v>64.61620896120243</v>
      </c>
      <c r="F19" s="142">
        <f t="shared" si="3"/>
        <v>78.59365938702683</v>
      </c>
      <c r="G19" s="142">
        <f t="shared" si="0"/>
        <v>38.2271670218316</v>
      </c>
      <c r="H19" s="141">
        <f t="shared" si="2"/>
        <v>23550.09999999999</v>
      </c>
      <c r="I19" s="141">
        <f t="shared" si="1"/>
        <v>139721.5</v>
      </c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177295.6</v>
      </c>
      <c r="C25" s="125">
        <f>C18</f>
        <v>424151.5</v>
      </c>
      <c r="D25" s="125">
        <f>D18</f>
        <v>133812.39999999997</v>
      </c>
      <c r="E25" s="104">
        <f>D25/D18*100</f>
        <v>100</v>
      </c>
      <c r="F25" s="104">
        <f t="shared" si="3"/>
        <v>75.47417984428263</v>
      </c>
      <c r="G25" s="104">
        <f t="shared" si="0"/>
        <v>31.548255752956187</v>
      </c>
      <c r="H25" s="102">
        <f t="shared" si="2"/>
        <v>43483.20000000004</v>
      </c>
      <c r="I25" s="102">
        <f t="shared" si="1"/>
        <v>290339.10000000003</v>
      </c>
      <c r="K25" s="151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1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1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1">
        <f t="shared" si="4"/>
        <v>0</v>
      </c>
    </row>
    <row r="33" spans="1:11" ht="18.75" thickBot="1">
      <c r="A33" s="20" t="s">
        <v>17</v>
      </c>
      <c r="B33" s="38">
        <v>10336.2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</f>
        <v>6956.900000000001</v>
      </c>
      <c r="E33" s="3">
        <f>D33/D153*100</f>
        <v>1.2081668179863672</v>
      </c>
      <c r="F33" s="3">
        <f>D33/B33*100</f>
        <v>67.3061666763414</v>
      </c>
      <c r="G33" s="3">
        <f t="shared" si="0"/>
        <v>28.046248553724844</v>
      </c>
      <c r="H33" s="40">
        <f t="shared" si="2"/>
        <v>3379.3</v>
      </c>
      <c r="I33" s="40">
        <f t="shared" si="1"/>
        <v>17848.199999999997</v>
      </c>
      <c r="J33" s="157"/>
      <c r="K33" s="151"/>
    </row>
    <row r="34" spans="1:11" s="93" customFormat="1" ht="18">
      <c r="A34" s="100" t="s">
        <v>3</v>
      </c>
      <c r="B34" s="124">
        <v>5214</v>
      </c>
      <c r="C34" s="125">
        <v>12906.6</v>
      </c>
      <c r="D34" s="102">
        <f>364.6+548.1+389.3+522.2+63+395+556.7+63+391.3+512.8+63</f>
        <v>3869</v>
      </c>
      <c r="E34" s="104">
        <f>D34/D33*100</f>
        <v>55.613850996852044</v>
      </c>
      <c r="F34" s="104">
        <f t="shared" si="3"/>
        <v>74.20406597621788</v>
      </c>
      <c r="G34" s="104">
        <f t="shared" si="0"/>
        <v>29.976911037763625</v>
      </c>
      <c r="H34" s="102">
        <f t="shared" si="2"/>
        <v>1345</v>
      </c>
      <c r="I34" s="102">
        <f t="shared" si="1"/>
        <v>9037.6</v>
      </c>
      <c r="K34" s="151"/>
    </row>
    <row r="35" spans="1:11" s="93" customFormat="1" ht="18">
      <c r="A35" s="100" t="s">
        <v>1</v>
      </c>
      <c r="B35" s="124">
        <v>27.1</v>
      </c>
      <c r="C35" s="125">
        <v>81.1</v>
      </c>
      <c r="D35" s="102">
        <f>6.8+8.7</f>
        <v>15.5</v>
      </c>
      <c r="E35" s="104">
        <f>D35/D33*100</f>
        <v>0.22280038522905316</v>
      </c>
      <c r="F35" s="104">
        <f t="shared" si="3"/>
        <v>57.19557195571956</v>
      </c>
      <c r="G35" s="104">
        <f t="shared" si="0"/>
        <v>19.112207151664613</v>
      </c>
      <c r="H35" s="102">
        <f t="shared" si="2"/>
        <v>11.600000000000001</v>
      </c>
      <c r="I35" s="102">
        <f t="shared" si="1"/>
        <v>65.6</v>
      </c>
      <c r="K35" s="151"/>
    </row>
    <row r="36" spans="1:11" s="93" customFormat="1" ht="18">
      <c r="A36" s="100" t="s">
        <v>0</v>
      </c>
      <c r="B36" s="124">
        <v>1009.1</v>
      </c>
      <c r="C36" s="125">
        <v>1783</v>
      </c>
      <c r="D36" s="102">
        <f>0.3+11.3+141.7+12.6+0.9+12.9+1.3+0.5+169.4+1.1+0.1+0.4+11.3+166.1+3.8+5.1+2.9+0.2+0.5+11.9</f>
        <v>554.3</v>
      </c>
      <c r="E36" s="104">
        <f>D36/D33*100</f>
        <v>7.9676292601589775</v>
      </c>
      <c r="F36" s="104">
        <f t="shared" si="3"/>
        <v>54.930135764542655</v>
      </c>
      <c r="G36" s="104">
        <f t="shared" si="0"/>
        <v>31.088053841839592</v>
      </c>
      <c r="H36" s="102">
        <f t="shared" si="2"/>
        <v>454.80000000000007</v>
      </c>
      <c r="I36" s="102">
        <f t="shared" si="1"/>
        <v>1228.7</v>
      </c>
      <c r="K36" s="151"/>
    </row>
    <row r="37" spans="1:12" s="94" customFormat="1" ht="18">
      <c r="A37" s="115" t="s">
        <v>7</v>
      </c>
      <c r="B37" s="135">
        <v>298.7</v>
      </c>
      <c r="C37" s="136">
        <v>1008</v>
      </c>
      <c r="D37" s="106">
        <f>44.8+25.1+1.6+0.5+2.7+1+6.3+8.5+2.5+36.6+1.5+4.5+23.6+4.1</f>
        <v>163.29999999999998</v>
      </c>
      <c r="E37" s="110">
        <f>D37/D33*100</f>
        <v>2.3473098650260886</v>
      </c>
      <c r="F37" s="110">
        <f t="shared" si="3"/>
        <v>54.67023769668563</v>
      </c>
      <c r="G37" s="110">
        <f t="shared" si="0"/>
        <v>16.200396825396822</v>
      </c>
      <c r="H37" s="106">
        <f t="shared" si="2"/>
        <v>135.4</v>
      </c>
      <c r="I37" s="106">
        <f t="shared" si="1"/>
        <v>844.7</v>
      </c>
      <c r="K37" s="151"/>
      <c r="L37" s="137"/>
    </row>
    <row r="38" spans="1:13" s="93" customFormat="1" ht="18">
      <c r="A38" s="100" t="s">
        <v>14</v>
      </c>
      <c r="B38" s="124">
        <v>25.5</v>
      </c>
      <c r="C38" s="125">
        <v>80.8</v>
      </c>
      <c r="D38" s="125">
        <f>5.1+5.1+5.1+5.1+5.1</f>
        <v>25.5</v>
      </c>
      <c r="E38" s="104">
        <f>D38/D33*100</f>
        <v>0.3665425692477971</v>
      </c>
      <c r="F38" s="104">
        <f t="shared" si="3"/>
        <v>100</v>
      </c>
      <c r="G38" s="104">
        <f t="shared" si="0"/>
        <v>31.55940594059406</v>
      </c>
      <c r="H38" s="102">
        <f t="shared" si="2"/>
        <v>0</v>
      </c>
      <c r="I38" s="102">
        <f t="shared" si="1"/>
        <v>55.3</v>
      </c>
      <c r="K38" s="176"/>
      <c r="L38" s="165"/>
      <c r="M38" s="165"/>
    </row>
    <row r="39" spans="1:13" s="93" customFormat="1" ht="18.75" thickBot="1">
      <c r="A39" s="100" t="s">
        <v>27</v>
      </c>
      <c r="B39" s="124">
        <f>B33-B34-B36-B37-B35-B38</f>
        <v>3761.8000000000006</v>
      </c>
      <c r="C39" s="124">
        <f>C33-C34-C36-C37-C35-C38</f>
        <v>8945.599999999999</v>
      </c>
      <c r="D39" s="124">
        <f>D33-D34-D36-D37-D35-D38</f>
        <v>2329.3</v>
      </c>
      <c r="E39" s="104">
        <f>D39/D33*100</f>
        <v>33.48186692348604</v>
      </c>
      <c r="F39" s="104">
        <f t="shared" si="3"/>
        <v>61.91982561539688</v>
      </c>
      <c r="G39" s="104">
        <f t="shared" si="0"/>
        <v>26.038499373993922</v>
      </c>
      <c r="H39" s="102">
        <f>B39-D39</f>
        <v>1432.5000000000005</v>
      </c>
      <c r="I39" s="102">
        <f t="shared" si="1"/>
        <v>6616.299999999998</v>
      </c>
      <c r="K39" s="176"/>
      <c r="L39" s="165"/>
      <c r="M39" s="165"/>
    </row>
    <row r="40" spans="1:13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76"/>
      <c r="L40" s="165"/>
      <c r="M40" s="165"/>
    </row>
    <row r="41" spans="1:13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76"/>
      <c r="L41" s="165"/>
      <c r="M41" s="165"/>
    </row>
    <row r="42" spans="1:13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76"/>
      <c r="L42" s="165"/>
      <c r="M42" s="165"/>
    </row>
    <row r="43" spans="1:13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</f>
        <v>217.69999999999996</v>
      </c>
      <c r="E43" s="3">
        <f>D43/D153*100</f>
        <v>0.0378067697215185</v>
      </c>
      <c r="F43" s="3">
        <f>D43/B43*100</f>
        <v>20.73925883585786</v>
      </c>
      <c r="G43" s="3">
        <f t="shared" si="0"/>
        <v>13.658322353974524</v>
      </c>
      <c r="H43" s="40">
        <f t="shared" si="2"/>
        <v>832.0000000000001</v>
      </c>
      <c r="I43" s="40">
        <f t="shared" si="1"/>
        <v>1376.2</v>
      </c>
      <c r="J43" s="93"/>
      <c r="K43" s="176"/>
      <c r="L43" s="165"/>
      <c r="M43" s="165"/>
    </row>
    <row r="44" spans="1:13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76"/>
      <c r="L44" s="165"/>
      <c r="M44" s="165"/>
    </row>
    <row r="45" spans="1:13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</f>
        <v>4237.6</v>
      </c>
      <c r="E45" s="3">
        <f>D45/D153*100</f>
        <v>0.7359208423146847</v>
      </c>
      <c r="F45" s="3">
        <f>D45/B45*100</f>
        <v>74.25917813020241</v>
      </c>
      <c r="G45" s="3">
        <f aca="true" t="shared" si="5" ref="G45:G76">D45/C45*100</f>
        <v>31.213217150475465</v>
      </c>
      <c r="H45" s="40">
        <f>B45-D45</f>
        <v>1468.8999999999996</v>
      </c>
      <c r="I45" s="40">
        <f aca="true" t="shared" si="6" ref="I45:I77">C45-D45</f>
        <v>9338.699999999999</v>
      </c>
      <c r="J45" s="93"/>
      <c r="K45" s="176"/>
      <c r="L45" s="165"/>
      <c r="M45" s="165"/>
    </row>
    <row r="46" spans="1:13" s="93" customFormat="1" ht="18">
      <c r="A46" s="100" t="s">
        <v>3</v>
      </c>
      <c r="B46" s="124">
        <v>4987.5</v>
      </c>
      <c r="C46" s="125">
        <v>12256.4</v>
      </c>
      <c r="D46" s="102">
        <f>237.1+551.8+334.1+652.5+314.7+746.1+319.2+661.7</f>
        <v>3817.2</v>
      </c>
      <c r="E46" s="104">
        <f>D46/D45*100</f>
        <v>90.0792901642439</v>
      </c>
      <c r="F46" s="104">
        <f aca="true" t="shared" si="7" ref="F46:F74">D46/B46*100</f>
        <v>76.53533834586466</v>
      </c>
      <c r="G46" s="104">
        <f t="shared" si="5"/>
        <v>31.14454489083254</v>
      </c>
      <c r="H46" s="102">
        <f aca="true" t="shared" si="8" ref="H46:H74">B46-D46</f>
        <v>1170.3000000000002</v>
      </c>
      <c r="I46" s="102">
        <f t="shared" si="6"/>
        <v>8439.2</v>
      </c>
      <c r="K46" s="176"/>
      <c r="L46" s="165"/>
      <c r="M46" s="165"/>
    </row>
    <row r="47" spans="1:13" s="93" customFormat="1" ht="18">
      <c r="A47" s="100" t="s">
        <v>2</v>
      </c>
      <c r="B47" s="124">
        <v>0.8</v>
      </c>
      <c r="C47" s="125">
        <v>1.5</v>
      </c>
      <c r="D47" s="102"/>
      <c r="E47" s="104">
        <f>D47/D45*100</f>
        <v>0</v>
      </c>
      <c r="F47" s="104">
        <f t="shared" si="7"/>
        <v>0</v>
      </c>
      <c r="G47" s="104">
        <f t="shared" si="5"/>
        <v>0</v>
      </c>
      <c r="H47" s="102">
        <f t="shared" si="8"/>
        <v>0.8</v>
      </c>
      <c r="I47" s="102">
        <f t="shared" si="6"/>
        <v>1.5</v>
      </c>
      <c r="K47" s="176"/>
      <c r="L47" s="165"/>
      <c r="M47" s="165"/>
    </row>
    <row r="48" spans="1:13" s="93" customFormat="1" ht="18">
      <c r="A48" s="100" t="s">
        <v>1</v>
      </c>
      <c r="B48" s="124">
        <v>39.4</v>
      </c>
      <c r="C48" s="125">
        <v>98.9</v>
      </c>
      <c r="D48" s="102">
        <f>5.7+6.1+6.5</f>
        <v>18.3</v>
      </c>
      <c r="E48" s="104">
        <f>D48/D45*100</f>
        <v>0.4318482159713045</v>
      </c>
      <c r="F48" s="104">
        <f t="shared" si="7"/>
        <v>46.44670050761422</v>
      </c>
      <c r="G48" s="104">
        <f t="shared" si="5"/>
        <v>18.503538928210315</v>
      </c>
      <c r="H48" s="102">
        <f t="shared" si="8"/>
        <v>21.099999999999998</v>
      </c>
      <c r="I48" s="102">
        <f t="shared" si="6"/>
        <v>80.60000000000001</v>
      </c>
      <c r="K48" s="176"/>
      <c r="L48" s="165"/>
      <c r="M48" s="165"/>
    </row>
    <row r="49" spans="1:13" s="93" customFormat="1" ht="18">
      <c r="A49" s="100" t="s">
        <v>0</v>
      </c>
      <c r="B49" s="124">
        <v>553.6</v>
      </c>
      <c r="C49" s="125">
        <v>879.8</v>
      </c>
      <c r="D49" s="102">
        <f>7.3+51.9+12.7-0.1+54.5+131.2+49.5+2.4+7.9</f>
        <v>317.29999999999995</v>
      </c>
      <c r="E49" s="104">
        <f>D49/D45*100</f>
        <v>7.4877289031527265</v>
      </c>
      <c r="F49" s="104">
        <f t="shared" si="7"/>
        <v>57.31575144508669</v>
      </c>
      <c r="G49" s="104">
        <f t="shared" si="5"/>
        <v>36.06501477608547</v>
      </c>
      <c r="H49" s="102">
        <f t="shared" si="8"/>
        <v>236.30000000000007</v>
      </c>
      <c r="I49" s="102">
        <f t="shared" si="6"/>
        <v>562.5</v>
      </c>
      <c r="K49" s="176"/>
      <c r="L49" s="165"/>
      <c r="M49" s="165"/>
    </row>
    <row r="50" spans="1:13" s="93" customFormat="1" ht="18.75" thickBot="1">
      <c r="A50" s="100" t="s">
        <v>27</v>
      </c>
      <c r="B50" s="125">
        <f>B45-B46-B49-B48-B47</f>
        <v>125.19999999999997</v>
      </c>
      <c r="C50" s="125">
        <f>C45-C46-C49-C48-C47</f>
        <v>339.6999999999997</v>
      </c>
      <c r="D50" s="125">
        <f>D45-D46-D49-D48-D47</f>
        <v>84.8000000000006</v>
      </c>
      <c r="E50" s="104">
        <f>D50/D45*100</f>
        <v>2.0011327166320694</v>
      </c>
      <c r="F50" s="104">
        <f t="shared" si="7"/>
        <v>67.73162939297174</v>
      </c>
      <c r="G50" s="104">
        <f t="shared" si="5"/>
        <v>24.96320282602316</v>
      </c>
      <c r="H50" s="102">
        <f t="shared" si="8"/>
        <v>40.39999999999938</v>
      </c>
      <c r="I50" s="102">
        <f t="shared" si="6"/>
        <v>254.89999999999912</v>
      </c>
      <c r="K50" s="176"/>
      <c r="L50" s="165"/>
      <c r="M50" s="165"/>
    </row>
    <row r="51" spans="1:13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</f>
        <v>9866.599999999999</v>
      </c>
      <c r="E51" s="3">
        <f>D51/D153*100</f>
        <v>1.7134785215173838</v>
      </c>
      <c r="F51" s="3">
        <f>D51/B51*100</f>
        <v>69.95653684441892</v>
      </c>
      <c r="G51" s="3">
        <f t="shared" si="5"/>
        <v>26.569257366286607</v>
      </c>
      <c r="H51" s="40">
        <f>B51-D51</f>
        <v>4237.300000000001</v>
      </c>
      <c r="I51" s="40">
        <f t="shared" si="6"/>
        <v>27268.800000000003</v>
      </c>
      <c r="J51" s="93"/>
      <c r="K51" s="176"/>
      <c r="L51" s="165"/>
      <c r="M51" s="165"/>
    </row>
    <row r="52" spans="1:13" s="93" customFormat="1" ht="18">
      <c r="A52" s="100" t="s">
        <v>3</v>
      </c>
      <c r="B52" s="124">
        <v>8043.2</v>
      </c>
      <c r="C52" s="125">
        <v>20097.4</v>
      </c>
      <c r="D52" s="102">
        <f>632.9+34.3+767.3+737.6+710.6+649.6+792.4+1.6+643.1+825.6</f>
        <v>5795.000000000001</v>
      </c>
      <c r="E52" s="104">
        <f>D52/D51*100</f>
        <v>58.733504956114594</v>
      </c>
      <c r="F52" s="104">
        <f t="shared" si="7"/>
        <v>72.0484384324647</v>
      </c>
      <c r="G52" s="104">
        <f t="shared" si="5"/>
        <v>28.83457561674645</v>
      </c>
      <c r="H52" s="102">
        <f t="shared" si="8"/>
        <v>2248.199999999999</v>
      </c>
      <c r="I52" s="102">
        <f t="shared" si="6"/>
        <v>14302.400000000001</v>
      </c>
      <c r="K52" s="176"/>
      <c r="L52" s="165"/>
      <c r="M52" s="165"/>
    </row>
    <row r="53" spans="1:13" s="93" customFormat="1" ht="18">
      <c r="A53" s="100" t="s">
        <v>2</v>
      </c>
      <c r="B53" s="124">
        <v>0</v>
      </c>
      <c r="C53" s="125">
        <v>13.9</v>
      </c>
      <c r="D53" s="102"/>
      <c r="E53" s="104">
        <f>D53/D51*100</f>
        <v>0</v>
      </c>
      <c r="F53" s="104" t="e">
        <f>D53/B53*100</f>
        <v>#DIV/0!</v>
      </c>
      <c r="G53" s="104">
        <f t="shared" si="5"/>
        <v>0</v>
      </c>
      <c r="H53" s="102">
        <f t="shared" si="8"/>
        <v>0</v>
      </c>
      <c r="I53" s="102">
        <f t="shared" si="6"/>
        <v>13.9</v>
      </c>
      <c r="K53" s="176"/>
      <c r="L53" s="165"/>
      <c r="M53" s="165"/>
    </row>
    <row r="54" spans="1:13" s="93" customFormat="1" ht="18">
      <c r="A54" s="100" t="s">
        <v>1</v>
      </c>
      <c r="B54" s="124">
        <v>447.9</v>
      </c>
      <c r="C54" s="125">
        <v>993.6</v>
      </c>
      <c r="D54" s="102">
        <f>0.2+4.2+9+4.7+9.6+6.3+43.2+2.7+18.4+3.8+23.8+5.3+12.2+43.2+26.7+3.8+22.4+0.4+59.7+30.3</f>
        <v>329.90000000000003</v>
      </c>
      <c r="E54" s="104">
        <f>D54/D51*100</f>
        <v>3.3436036729977916</v>
      </c>
      <c r="F54" s="104">
        <f t="shared" si="7"/>
        <v>73.65483366822953</v>
      </c>
      <c r="G54" s="104">
        <f t="shared" si="5"/>
        <v>33.202495974235106</v>
      </c>
      <c r="H54" s="102">
        <f t="shared" si="8"/>
        <v>117.99999999999994</v>
      </c>
      <c r="I54" s="102">
        <f t="shared" si="6"/>
        <v>663.7</v>
      </c>
      <c r="K54" s="176"/>
      <c r="L54" s="165"/>
      <c r="M54" s="165"/>
    </row>
    <row r="55" spans="1:13" s="93" customFormat="1" ht="18">
      <c r="A55" s="100" t="s">
        <v>0</v>
      </c>
      <c r="B55" s="124">
        <v>571.3</v>
      </c>
      <c r="C55" s="125">
        <v>1219.9</v>
      </c>
      <c r="D55" s="102">
        <f>0.5+1+2.8+12.3+8.3+0.5+0.4+8.7+15+0.3+1.3+64.9+33.6+8.1+0.1+94.7+0.3+9.8+7.8+0.9+1.8+16.2+18.3+3.3+0.1+11.4+0.1+11.4+1.3+76.9+6.2</f>
        <v>418.3</v>
      </c>
      <c r="E55" s="104">
        <f>D55/D51*100</f>
        <v>4.239555672673465</v>
      </c>
      <c r="F55" s="104">
        <f t="shared" si="7"/>
        <v>73.21897426921058</v>
      </c>
      <c r="G55" s="104">
        <f t="shared" si="5"/>
        <v>34.2896958767112</v>
      </c>
      <c r="H55" s="102">
        <f t="shared" si="8"/>
        <v>152.99999999999994</v>
      </c>
      <c r="I55" s="102">
        <f t="shared" si="6"/>
        <v>801.6000000000001</v>
      </c>
      <c r="K55" s="176"/>
      <c r="L55" s="165"/>
      <c r="M55" s="165"/>
    </row>
    <row r="56" spans="1:13" s="93" customFormat="1" ht="18">
      <c r="A56" s="100" t="s">
        <v>14</v>
      </c>
      <c r="B56" s="124">
        <v>550</v>
      </c>
      <c r="C56" s="125">
        <v>1320</v>
      </c>
      <c r="D56" s="125">
        <f>110+110+110+110</f>
        <v>440</v>
      </c>
      <c r="E56" s="104">
        <f>D56/D51*100</f>
        <v>4.4594895911458865</v>
      </c>
      <c r="F56" s="104">
        <f>D56/B56*100</f>
        <v>80</v>
      </c>
      <c r="G56" s="104">
        <f>D56/C56*100</f>
        <v>33.33333333333333</v>
      </c>
      <c r="H56" s="102">
        <f t="shared" si="8"/>
        <v>110</v>
      </c>
      <c r="I56" s="102">
        <f t="shared" si="6"/>
        <v>880</v>
      </c>
      <c r="K56" s="176"/>
      <c r="L56" s="165"/>
      <c r="M56" s="165"/>
    </row>
    <row r="57" spans="1:13" s="93" customFormat="1" ht="18.75" thickBot="1">
      <c r="A57" s="100" t="s">
        <v>27</v>
      </c>
      <c r="B57" s="125">
        <f>B51-B52-B55-B54-B53-B56</f>
        <v>4491.5</v>
      </c>
      <c r="C57" s="125">
        <f>C51-C52-C55-C54-C53-C56</f>
        <v>13490.6</v>
      </c>
      <c r="D57" s="125">
        <f>D51-D52-D55-D54-D53-D56</f>
        <v>2883.3999999999974</v>
      </c>
      <c r="E57" s="104">
        <f>D57/D51*100</f>
        <v>29.22384610706827</v>
      </c>
      <c r="F57" s="104">
        <f t="shared" si="7"/>
        <v>64.19681620839357</v>
      </c>
      <c r="G57" s="104">
        <f t="shared" si="5"/>
        <v>21.373400738291828</v>
      </c>
      <c r="H57" s="102">
        <f>B57-D57</f>
        <v>1608.1000000000026</v>
      </c>
      <c r="I57" s="102">
        <f>C57-D57</f>
        <v>10607.200000000003</v>
      </c>
      <c r="K57" s="176"/>
      <c r="L57" s="165"/>
      <c r="M57" s="165"/>
    </row>
    <row r="58" spans="1:13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76"/>
      <c r="L58" s="177"/>
      <c r="M58" s="177"/>
    </row>
    <row r="59" spans="1:13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87.7+79.1+87.8+43.2+40.5+47.6+13+155.9+18+2.1+84.2+29.6+0.7+0.5+5.7+85.8+109.2+19+38.3+85.7+1.2+4.7+89.8+79.1+0.4</f>
        <v>1208.8000000000002</v>
      </c>
      <c r="E59" s="3">
        <f>D59/D153*100</f>
        <v>0.20992569241787584</v>
      </c>
      <c r="F59" s="3">
        <f>D59/B59*100</f>
        <v>74.06408921021998</v>
      </c>
      <c r="G59" s="3">
        <f t="shared" si="5"/>
        <v>13.04807754582155</v>
      </c>
      <c r="H59" s="40">
        <f>B59-D59</f>
        <v>423.2999999999997</v>
      </c>
      <c r="I59" s="40">
        <f t="shared" si="6"/>
        <v>8055.400000000001</v>
      </c>
      <c r="J59" s="93"/>
      <c r="K59" s="176"/>
      <c r="L59" s="165"/>
      <c r="M59" s="165"/>
    </row>
    <row r="60" spans="1:13" s="93" customFormat="1" ht="18">
      <c r="A60" s="100" t="s">
        <v>3</v>
      </c>
      <c r="B60" s="124">
        <v>1268.68</v>
      </c>
      <c r="C60" s="125">
        <v>3119.7</v>
      </c>
      <c r="D60" s="102">
        <f>77.7+79.1+76.9+40.5+47.3+155.9+45+29.2+85.8+95.3+38.3+30.7+89.8+79.1</f>
        <v>970.6</v>
      </c>
      <c r="E60" s="104">
        <f>D60/D59*100</f>
        <v>80.29450694904035</v>
      </c>
      <c r="F60" s="104">
        <f t="shared" si="7"/>
        <v>76.50471356055112</v>
      </c>
      <c r="G60" s="104">
        <f t="shared" si="5"/>
        <v>31.11196589415649</v>
      </c>
      <c r="H60" s="102">
        <f t="shared" si="8"/>
        <v>298.08000000000004</v>
      </c>
      <c r="I60" s="102">
        <f t="shared" si="6"/>
        <v>2149.1</v>
      </c>
      <c r="K60" s="176"/>
      <c r="L60" s="165"/>
      <c r="M60" s="165"/>
    </row>
    <row r="61" spans="1:13" s="93" customFormat="1" ht="18">
      <c r="A61" s="100" t="s">
        <v>1</v>
      </c>
      <c r="B61" s="124">
        <v>0</v>
      </c>
      <c r="C61" s="125">
        <v>360.7</v>
      </c>
      <c r="D61" s="102"/>
      <c r="E61" s="104">
        <f>D61/D59*100</f>
        <v>0</v>
      </c>
      <c r="F61" s="104" t="e">
        <f>D61/B61*100</f>
        <v>#DIV/0!</v>
      </c>
      <c r="G61" s="104">
        <f t="shared" si="5"/>
        <v>0</v>
      </c>
      <c r="H61" s="102">
        <f t="shared" si="8"/>
        <v>0</v>
      </c>
      <c r="I61" s="102">
        <f t="shared" si="6"/>
        <v>360.7</v>
      </c>
      <c r="K61" s="176"/>
      <c r="L61" s="165"/>
      <c r="M61" s="165"/>
    </row>
    <row r="62" spans="1:13" s="93" customFormat="1" ht="18">
      <c r="A62" s="100" t="s">
        <v>0</v>
      </c>
      <c r="B62" s="124">
        <v>236.7</v>
      </c>
      <c r="C62" s="125">
        <v>393.7</v>
      </c>
      <c r="D62" s="102">
        <f>10.9+43.2+13-3+39.2+5.7+50.2+3.5+0.2</f>
        <v>162.89999999999998</v>
      </c>
      <c r="E62" s="104">
        <f>D62/D59*100</f>
        <v>13.476174718729315</v>
      </c>
      <c r="F62" s="104">
        <f t="shared" si="7"/>
        <v>68.82129277566538</v>
      </c>
      <c r="G62" s="104">
        <f t="shared" si="5"/>
        <v>41.3766827533655</v>
      </c>
      <c r="H62" s="102">
        <f t="shared" si="8"/>
        <v>73.80000000000001</v>
      </c>
      <c r="I62" s="102">
        <f t="shared" si="6"/>
        <v>230.8</v>
      </c>
      <c r="K62" s="176"/>
      <c r="L62" s="165"/>
      <c r="M62" s="165"/>
    </row>
    <row r="63" spans="1:13" s="93" customFormat="1" ht="18">
      <c r="A63" s="100" t="s">
        <v>14</v>
      </c>
      <c r="B63" s="124">
        <v>0</v>
      </c>
      <c r="C63" s="125">
        <v>4866.6</v>
      </c>
      <c r="D63" s="102">
        <v>0</v>
      </c>
      <c r="E63" s="104">
        <f>D63/D59*100</f>
        <v>0</v>
      </c>
      <c r="F63" s="104" t="e">
        <f t="shared" si="7"/>
        <v>#DIV/0!</v>
      </c>
      <c r="G63" s="104">
        <f t="shared" si="5"/>
        <v>0</v>
      </c>
      <c r="H63" s="102">
        <f t="shared" si="8"/>
        <v>0</v>
      </c>
      <c r="I63" s="102">
        <f t="shared" si="6"/>
        <v>4866.6</v>
      </c>
      <c r="K63" s="176"/>
      <c r="L63" s="165"/>
      <c r="M63" s="165"/>
    </row>
    <row r="64" spans="1:13" s="93" customFormat="1" ht="18.75" thickBot="1">
      <c r="A64" s="100" t="s">
        <v>27</v>
      </c>
      <c r="B64" s="125">
        <f>B59-B60-B62-B63-B61</f>
        <v>126.71999999999986</v>
      </c>
      <c r="C64" s="125">
        <f>C59-C60-C62-C63-C61</f>
        <v>523.5000000000007</v>
      </c>
      <c r="D64" s="125">
        <f>D59-D60-D62-D63-D61</f>
        <v>75.30000000000018</v>
      </c>
      <c r="E64" s="104">
        <f>D64/D59*100</f>
        <v>6.229318332230325</v>
      </c>
      <c r="F64" s="104">
        <f t="shared" si="7"/>
        <v>59.4223484848487</v>
      </c>
      <c r="G64" s="104">
        <f t="shared" si="5"/>
        <v>14.38395415472781</v>
      </c>
      <c r="H64" s="102">
        <f t="shared" si="8"/>
        <v>51.419999999999675</v>
      </c>
      <c r="I64" s="102">
        <f t="shared" si="6"/>
        <v>448.2000000000005</v>
      </c>
      <c r="K64" s="176"/>
      <c r="L64" s="165"/>
      <c r="M64" s="165"/>
    </row>
    <row r="65" spans="1:13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76"/>
      <c r="L65" s="177"/>
      <c r="M65" s="177"/>
    </row>
    <row r="66" spans="1:13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76"/>
      <c r="L66" s="177"/>
      <c r="M66" s="177"/>
    </row>
    <row r="67" spans="1:13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76"/>
      <c r="L67" s="177"/>
      <c r="M67" s="177"/>
    </row>
    <row r="68" spans="1:13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76"/>
      <c r="L68" s="177"/>
      <c r="M68" s="177"/>
    </row>
    <row r="69" spans="1:13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0.029436139034439073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76"/>
      <c r="L69" s="165"/>
      <c r="M69" s="165"/>
    </row>
    <row r="70" spans="1:13" s="93" customFormat="1" ht="18">
      <c r="A70" s="100" t="s">
        <v>8</v>
      </c>
      <c r="B70" s="124">
        <v>250.36</v>
      </c>
      <c r="C70" s="125">
        <v>292.7</v>
      </c>
      <c r="D70" s="102">
        <v>169.5</v>
      </c>
      <c r="E70" s="104">
        <f>D70/D69*100</f>
        <v>100</v>
      </c>
      <c r="F70" s="104">
        <f t="shared" si="7"/>
        <v>67.70250838792138</v>
      </c>
      <c r="G70" s="104">
        <f t="shared" si="5"/>
        <v>57.90912196788521</v>
      </c>
      <c r="H70" s="102">
        <f t="shared" si="8"/>
        <v>80.86000000000001</v>
      </c>
      <c r="I70" s="102">
        <f t="shared" si="6"/>
        <v>123.19999999999999</v>
      </c>
      <c r="K70" s="176"/>
      <c r="L70" s="165"/>
      <c r="M70" s="165"/>
    </row>
    <row r="71" spans="1:13" s="93" customFormat="1" ht="18.75" thickBot="1">
      <c r="A71" s="100" t="s">
        <v>9</v>
      </c>
      <c r="B71" s="124">
        <v>90</v>
      </c>
      <c r="C71" s="125">
        <f>293.1-30</f>
        <v>263.1</v>
      </c>
      <c r="D71" s="102"/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90</v>
      </c>
      <c r="I71" s="102">
        <f t="shared" si="6"/>
        <v>263.1</v>
      </c>
      <c r="K71" s="176"/>
      <c r="L71" s="165"/>
      <c r="M71" s="165"/>
    </row>
    <row r="72" spans="1:13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76"/>
      <c r="L72" s="165"/>
      <c r="M72" s="165"/>
    </row>
    <row r="73" spans="1:13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76"/>
      <c r="L73" s="165"/>
      <c r="M73" s="165"/>
    </row>
    <row r="74" spans="1:13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76"/>
      <c r="L74" s="165"/>
      <c r="M74" s="165"/>
    </row>
    <row r="75" spans="1:13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76"/>
      <c r="L75" s="165"/>
      <c r="M75" s="165"/>
    </row>
    <row r="76" spans="1:13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76"/>
      <c r="L76" s="165"/>
      <c r="M76" s="165"/>
    </row>
    <row r="77" spans="1:13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76"/>
      <c r="L77" s="177"/>
      <c r="M77" s="177"/>
    </row>
    <row r="78" spans="1:13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76"/>
      <c r="L78" s="165"/>
      <c r="M78" s="165"/>
    </row>
    <row r="79" spans="1:13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76"/>
      <c r="L79" s="165"/>
      <c r="M79" s="165"/>
    </row>
    <row r="80" spans="1:13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2"/>
      <c r="K80" s="176"/>
      <c r="L80" s="178"/>
      <c r="M80" s="178"/>
    </row>
    <row r="81" spans="1:13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2"/>
      <c r="K81" s="176"/>
      <c r="L81" s="178"/>
      <c r="M81" s="178"/>
    </row>
    <row r="82" spans="1:13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2"/>
      <c r="K82" s="176"/>
      <c r="L82" s="178"/>
      <c r="M82" s="178"/>
    </row>
    <row r="83" spans="1:13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2"/>
      <c r="K83" s="176"/>
      <c r="L83" s="178"/>
      <c r="M83" s="178"/>
    </row>
    <row r="84" spans="1:13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76"/>
      <c r="L84" s="165"/>
      <c r="M84" s="165"/>
    </row>
    <row r="85" spans="1:13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76"/>
      <c r="L85" s="165"/>
      <c r="M85" s="165"/>
    </row>
    <row r="86" spans="1:13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76"/>
      <c r="L86" s="165"/>
      <c r="M86" s="165"/>
    </row>
    <row r="87" spans="1:13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76"/>
      <c r="L87" s="165"/>
      <c r="M87" s="165"/>
    </row>
    <row r="88" spans="1:13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76"/>
      <c r="L88" s="165"/>
      <c r="M88" s="165"/>
    </row>
    <row r="89" spans="1:13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76"/>
      <c r="L89" s="165"/>
      <c r="M89" s="165"/>
    </row>
    <row r="90" spans="1:13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</f>
        <v>63580.600000000006</v>
      </c>
      <c r="E90" s="3">
        <f>D90/D153*100</f>
        <v>11.041695466035737</v>
      </c>
      <c r="F90" s="3">
        <f aca="true" t="shared" si="11" ref="F90:F96">D90/B90*100</f>
        <v>72.90416827196508</v>
      </c>
      <c r="G90" s="3">
        <f t="shared" si="9"/>
        <v>31.378457742134486</v>
      </c>
      <c r="H90" s="40">
        <f aca="true" t="shared" si="12" ref="H90:H96">B90-D90</f>
        <v>23630.59999999999</v>
      </c>
      <c r="I90" s="40">
        <f t="shared" si="10"/>
        <v>139044.4</v>
      </c>
      <c r="J90" s="165"/>
      <c r="K90" s="176"/>
      <c r="L90" s="165"/>
      <c r="M90" s="165"/>
    </row>
    <row r="91" spans="1:13" s="93" customFormat="1" ht="18">
      <c r="A91" s="100" t="s">
        <v>3</v>
      </c>
      <c r="B91" s="124">
        <v>82395.6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</f>
        <v>60837.30999999998</v>
      </c>
      <c r="E91" s="104">
        <f>D91/D90*100</f>
        <v>95.68533483483952</v>
      </c>
      <c r="F91" s="104">
        <f t="shared" si="11"/>
        <v>73.83562957245287</v>
      </c>
      <c r="G91" s="104">
        <f t="shared" si="9"/>
        <v>32.02750886665301</v>
      </c>
      <c r="H91" s="102">
        <f t="shared" si="12"/>
        <v>21558.290000000023</v>
      </c>
      <c r="I91" s="102">
        <f t="shared" si="10"/>
        <v>129115.99</v>
      </c>
      <c r="J91" s="165"/>
      <c r="K91" s="176"/>
      <c r="L91" s="165"/>
      <c r="M91" s="165"/>
    </row>
    <row r="92" spans="1:13" s="93" customFormat="1" ht="18">
      <c r="A92" s="100" t="s">
        <v>25</v>
      </c>
      <c r="B92" s="124">
        <v>1437.9</v>
      </c>
      <c r="C92" s="125">
        <v>2776.4</v>
      </c>
      <c r="D92" s="102">
        <f>57.2+3.4+167+1.4+0.3+83.4+86.9+53.1+5.3+4.7+17+71.3+284.2+22.2+4.8+1.6+54.8+7</f>
        <v>925.6</v>
      </c>
      <c r="E92" s="104">
        <f>D92/D90*100</f>
        <v>1.455789973671214</v>
      </c>
      <c r="F92" s="104">
        <f t="shared" si="11"/>
        <v>64.37165310522289</v>
      </c>
      <c r="G92" s="104">
        <f t="shared" si="9"/>
        <v>33.3381357153148</v>
      </c>
      <c r="H92" s="102">
        <f t="shared" si="12"/>
        <v>512.3000000000001</v>
      </c>
      <c r="I92" s="102">
        <f t="shared" si="10"/>
        <v>1850.8000000000002</v>
      </c>
      <c r="J92" s="165"/>
      <c r="K92" s="176"/>
      <c r="L92" s="165"/>
      <c r="M92" s="165"/>
    </row>
    <row r="93" spans="1:13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J93" s="165"/>
      <c r="K93" s="176"/>
      <c r="L93" s="165"/>
      <c r="M93" s="165"/>
    </row>
    <row r="94" spans="1:13" s="93" customFormat="1" ht="18.75" thickBot="1">
      <c r="A94" s="100" t="s">
        <v>27</v>
      </c>
      <c r="B94" s="125">
        <f>B90-B91-B92-B93</f>
        <v>3377.699999999991</v>
      </c>
      <c r="C94" s="125">
        <f>C90-C91-C92-C93</f>
        <v>9895.300000000012</v>
      </c>
      <c r="D94" s="125">
        <f>D90-D91-D92-D93</f>
        <v>1817.6900000000228</v>
      </c>
      <c r="E94" s="104">
        <f>D94/D90*100</f>
        <v>2.8588751914892634</v>
      </c>
      <c r="F94" s="104">
        <f t="shared" si="11"/>
        <v>53.81442993753227</v>
      </c>
      <c r="G94" s="104">
        <f>D94/C94*100</f>
        <v>18.369225794064057</v>
      </c>
      <c r="H94" s="102">
        <f t="shared" si="12"/>
        <v>1560.0099999999684</v>
      </c>
      <c r="I94" s="102">
        <f>C94-D94</f>
        <v>8077.60999999999</v>
      </c>
      <c r="J94" s="165"/>
      <c r="K94" s="176"/>
      <c r="L94" s="165"/>
      <c r="M94" s="165"/>
    </row>
    <row r="95" spans="1:13" ht="18">
      <c r="A95" s="82" t="s">
        <v>12</v>
      </c>
      <c r="B95" s="91">
        <v>19652.3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627.6+194.6+194.6+1234+510.7+28.2+0.5+182.1+337.6+34.8+102.9+588.2+1248.7+97.9+0.7+344.5+13.1+160.3+129.6+35.4+41.5+435.1+0.1+121.2+1271.9+622+440.2+48.6+182.4+14+90.9+350.8+315.3+126.1+122.7+705.4+253.3+60.7+1714.7</f>
        <v>12982.900000000001</v>
      </c>
      <c r="E95" s="81">
        <f>D95/D153*100</f>
        <v>2.2546693184083724</v>
      </c>
      <c r="F95" s="83">
        <f t="shared" si="11"/>
        <v>66.06300534797455</v>
      </c>
      <c r="G95" s="80">
        <f>D95/C95*100</f>
        <v>27.213597890474016</v>
      </c>
      <c r="H95" s="84">
        <f t="shared" si="12"/>
        <v>6669.399999999998</v>
      </c>
      <c r="I95" s="87">
        <f>C95-D95</f>
        <v>34724.5</v>
      </c>
      <c r="J95" s="93"/>
      <c r="K95" s="176"/>
      <c r="L95" s="165"/>
      <c r="M95" s="165"/>
    </row>
    <row r="96" spans="1:13" s="93" customFormat="1" ht="18.75" thickBot="1">
      <c r="A96" s="127" t="s">
        <v>83</v>
      </c>
      <c r="B96" s="128">
        <v>5686.3</v>
      </c>
      <c r="C96" s="129">
        <v>12814.2</v>
      </c>
      <c r="D96" s="130">
        <f>194.6+1234+3.4+0.5+79.6+1026.4+0.7+86.4+939.3+4.2+87.7+624.7+8+489.4</f>
        <v>4778.899999999999</v>
      </c>
      <c r="E96" s="131">
        <f>D96/D95*100</f>
        <v>36.809187469671635</v>
      </c>
      <c r="F96" s="132">
        <f t="shared" si="11"/>
        <v>84.04234739637371</v>
      </c>
      <c r="G96" s="133">
        <f>D96/C96*100</f>
        <v>37.29378345897519</v>
      </c>
      <c r="H96" s="134">
        <f t="shared" si="12"/>
        <v>907.4000000000015</v>
      </c>
      <c r="I96" s="123">
        <f>C96-D96</f>
        <v>8035.300000000002</v>
      </c>
      <c r="K96" s="176"/>
      <c r="L96" s="165"/>
      <c r="M96" s="165"/>
    </row>
    <row r="97" spans="1:13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76"/>
      <c r="L97" s="165"/>
      <c r="M97" s="165"/>
    </row>
    <row r="98" spans="1:13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76"/>
      <c r="L98" s="165"/>
      <c r="M98" s="165"/>
    </row>
    <row r="99" spans="1:13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76"/>
      <c r="L99" s="165"/>
      <c r="M99" s="165"/>
    </row>
    <row r="100" spans="1:13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3"/>
      <c r="K100" s="176"/>
      <c r="L100" s="179"/>
      <c r="M100" s="179"/>
    </row>
    <row r="101" spans="1:13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76"/>
      <c r="L101" s="165"/>
      <c r="M101" s="165"/>
    </row>
    <row r="102" spans="1:13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144.5+120.5+0.1+30.9+51.6+143.8+13.5+25.2+149.6+13.2+89.8+139.8+98.3+5.4+242.1+58+93.2+85.3+255.7+143.6+0.2+288+23.7+143.3+300.5+112.9+1.3+105.1+102.9+152.8+111.4+8.9+27.7+4.2+19.6+31+32.7+235.7+6.8</f>
        <v>3612.8</v>
      </c>
      <c r="E102" s="17">
        <f>D102/D153*100</f>
        <v>0.6274152395493894</v>
      </c>
      <c r="F102" s="17">
        <f>D102/B102*100</f>
        <v>66.7689293832819</v>
      </c>
      <c r="G102" s="17">
        <f aca="true" t="shared" si="13" ref="G102:G151">D102/C102*100</f>
        <v>32.32843861014917</v>
      </c>
      <c r="H102" s="65">
        <f aca="true" t="shared" si="14" ref="H102:H107">B102-D102</f>
        <v>1798.0999999999995</v>
      </c>
      <c r="I102" s="65">
        <f aca="true" t="shared" si="15" ref="I102:I151">C102-D102</f>
        <v>7562.499999999999</v>
      </c>
      <c r="J102" s="94"/>
      <c r="K102" s="176"/>
      <c r="L102" s="177"/>
      <c r="M102" s="177"/>
    </row>
    <row r="103" spans="1:13" s="93" customFormat="1" ht="18.75" customHeight="1">
      <c r="A103" s="100" t="s">
        <v>3</v>
      </c>
      <c r="B103" s="116">
        <v>109.13</v>
      </c>
      <c r="C103" s="117">
        <v>363.8</v>
      </c>
      <c r="D103" s="117"/>
      <c r="E103" s="118">
        <f>D103/D102*100</f>
        <v>0</v>
      </c>
      <c r="F103" s="104">
        <f>D103/B103*100</f>
        <v>0</v>
      </c>
      <c r="G103" s="118">
        <f>D103/C103*100</f>
        <v>0</v>
      </c>
      <c r="H103" s="117">
        <f t="shared" si="14"/>
        <v>109.13</v>
      </c>
      <c r="I103" s="117">
        <f t="shared" si="15"/>
        <v>363.8</v>
      </c>
      <c r="K103" s="176"/>
      <c r="L103" s="165"/>
      <c r="M103" s="165"/>
    </row>
    <row r="104" spans="1:13" s="93" customFormat="1" ht="18">
      <c r="A104" s="119" t="s">
        <v>48</v>
      </c>
      <c r="B104" s="101">
        <v>4556.9</v>
      </c>
      <c r="C104" s="102">
        <f>8949.2-91.2</f>
        <v>8858</v>
      </c>
      <c r="D104" s="102">
        <f>144.4+120.5+0.1+30.9+51.6+143.7+13.5+25.2+149.6+13.2+89.8+139.7+98.3+5.4+242.1+58+85.3+255.7+143.8+288+14+143.1+279.2+72.1+105.1+85.1+152.8+111.4+4.2+3.8+32.7+179.1</f>
        <v>3281.3999999999996</v>
      </c>
      <c r="E104" s="104">
        <f>D104/D102*100</f>
        <v>90.82705934455268</v>
      </c>
      <c r="F104" s="104">
        <f aca="true" t="shared" si="16" ref="F104:F151">D104/B104*100</f>
        <v>72.00948012903508</v>
      </c>
      <c r="G104" s="104">
        <f t="shared" si="13"/>
        <v>37.04447956649356</v>
      </c>
      <c r="H104" s="102">
        <f t="shared" si="14"/>
        <v>1275.5</v>
      </c>
      <c r="I104" s="102">
        <f t="shared" si="15"/>
        <v>5576.6</v>
      </c>
      <c r="K104" s="176"/>
      <c r="L104" s="165"/>
      <c r="M104" s="165"/>
    </row>
    <row r="105" spans="1:13" s="93" customFormat="1" ht="55.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K105" s="176"/>
      <c r="L105" s="165"/>
      <c r="M105" s="165"/>
    </row>
    <row r="106" spans="1:13" s="93" customFormat="1" ht="18.75" thickBot="1">
      <c r="A106" s="120" t="s">
        <v>27</v>
      </c>
      <c r="B106" s="121">
        <f>B102-B103-B104</f>
        <v>744.8699999999999</v>
      </c>
      <c r="C106" s="121">
        <f>C102-C103-C104</f>
        <v>1953.5</v>
      </c>
      <c r="D106" s="121">
        <f>D102-D103-D104</f>
        <v>331.40000000000055</v>
      </c>
      <c r="E106" s="122">
        <f>D106/D102*100</f>
        <v>9.172940655447313</v>
      </c>
      <c r="F106" s="122">
        <f t="shared" si="16"/>
        <v>44.49098500409475</v>
      </c>
      <c r="G106" s="122">
        <f t="shared" si="13"/>
        <v>16.96442283081651</v>
      </c>
      <c r="H106" s="123">
        <f>B106-D106</f>
        <v>413.46999999999935</v>
      </c>
      <c r="I106" s="123">
        <f t="shared" si="15"/>
        <v>1622.0999999999995</v>
      </c>
      <c r="K106" s="176"/>
      <c r="L106" s="165"/>
      <c r="M106" s="165"/>
    </row>
    <row r="107" spans="1:13" s="2" customFormat="1" ht="26.25" customHeight="1" thickBot="1">
      <c r="A107" s="66" t="s">
        <v>28</v>
      </c>
      <c r="B107" s="67">
        <f>SUM(B108:B150)-B115-B119+B151-B141-B142-B109-B112-B122-B123-B139-B132-B130-B137</f>
        <v>166807.89999999997</v>
      </c>
      <c r="C107" s="67">
        <f>SUM(C108:C150)-C115-C119+C151-C141-C142-C109-C112-C122-C123-C139-C132-C130-C137</f>
        <v>519888.10000000003</v>
      </c>
      <c r="D107" s="67">
        <f>SUM(D108:D150)-D115-D119+D151-D141-D142-D109-D112-D122-D123-D139-D132-D130-D137</f>
        <v>79682.99999999997</v>
      </c>
      <c r="E107" s="68">
        <f>D107/D153*100</f>
        <v>13.838111307853735</v>
      </c>
      <c r="F107" s="68">
        <f>D107/B107*100</f>
        <v>47.76932027799642</v>
      </c>
      <c r="G107" s="68">
        <f t="shared" si="13"/>
        <v>15.32695208834362</v>
      </c>
      <c r="H107" s="67">
        <f t="shared" si="14"/>
        <v>87124.9</v>
      </c>
      <c r="I107" s="67">
        <f t="shared" si="15"/>
        <v>440205.1000000001</v>
      </c>
      <c r="J107" s="111"/>
      <c r="K107" s="176"/>
      <c r="L107" s="180"/>
      <c r="M107" s="181"/>
    </row>
    <row r="108" spans="1:13" s="93" customFormat="1" ht="36.75">
      <c r="A108" s="96" t="s">
        <v>52</v>
      </c>
      <c r="B108" s="160">
        <v>1966.6</v>
      </c>
      <c r="C108" s="156">
        <v>4459</v>
      </c>
      <c r="D108" s="97">
        <f>17.1+81.1+17.3+60.5+173.3+3.4+2+0.4+29.3+1.7+177.1+0.8+38.8+139.8+0.3+1.9+1.8+6.5+136+91.3+0.1+1.8+1.1+2.4+3.5+2+3.4+72.2+73.1+42.5+21.2</f>
        <v>1203.6999999999996</v>
      </c>
      <c r="E108" s="98">
        <f>D108/D107*100</f>
        <v>1.5106107952762822</v>
      </c>
      <c r="F108" s="98">
        <f t="shared" si="16"/>
        <v>61.20715956473099</v>
      </c>
      <c r="G108" s="98">
        <f t="shared" si="13"/>
        <v>26.99484189280107</v>
      </c>
      <c r="H108" s="99">
        <f>B108-D108</f>
        <v>762.9000000000003</v>
      </c>
      <c r="I108" s="99">
        <f t="shared" si="15"/>
        <v>3255.3</v>
      </c>
      <c r="K108" s="176"/>
      <c r="L108" s="180"/>
      <c r="M108" s="165"/>
    </row>
    <row r="109" spans="1:13" s="93" customFormat="1" ht="18">
      <c r="A109" s="100" t="s">
        <v>25</v>
      </c>
      <c r="B109" s="161">
        <v>923</v>
      </c>
      <c r="C109" s="102">
        <v>1995</v>
      </c>
      <c r="D109" s="103">
        <f>47.8+0.9+59.7+88.3+0.1+59.2+38.8+107.4+24+91.1+38+42.5</f>
        <v>597.8000000000001</v>
      </c>
      <c r="E109" s="104">
        <f>D109/D108*100</f>
        <v>49.66353742626903</v>
      </c>
      <c r="F109" s="104">
        <f t="shared" si="16"/>
        <v>64.76706392199351</v>
      </c>
      <c r="G109" s="104">
        <f t="shared" si="13"/>
        <v>29.964912280701757</v>
      </c>
      <c r="H109" s="102">
        <f aca="true" t="shared" si="17" ref="H109:H151">B109-D109</f>
        <v>325.19999999999993</v>
      </c>
      <c r="I109" s="102">
        <f t="shared" si="15"/>
        <v>1397.1999999999998</v>
      </c>
      <c r="K109" s="176"/>
      <c r="L109" s="180"/>
      <c r="M109" s="165"/>
    </row>
    <row r="110" spans="1:13" s="93" customFormat="1" ht="34.5" customHeight="1" hidden="1">
      <c r="A110" s="105" t="s">
        <v>78</v>
      </c>
      <c r="B110" s="159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76"/>
      <c r="L110" s="180"/>
      <c r="M110" s="165"/>
    </row>
    <row r="111" spans="1:13" s="94" customFormat="1" ht="34.5" customHeight="1">
      <c r="A111" s="105" t="s">
        <v>93</v>
      </c>
      <c r="B111" s="162">
        <v>96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96</v>
      </c>
      <c r="I111" s="99">
        <f t="shared" si="15"/>
        <v>200</v>
      </c>
      <c r="K111" s="176"/>
      <c r="L111" s="180"/>
      <c r="M111" s="177"/>
    </row>
    <row r="112" spans="1:13" s="93" customFormat="1" ht="18" hidden="1">
      <c r="A112" s="100" t="s">
        <v>25</v>
      </c>
      <c r="B112" s="158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76"/>
      <c r="L112" s="180"/>
      <c r="M112" s="165"/>
    </row>
    <row r="113" spans="1:13" s="93" customFormat="1" ht="18">
      <c r="A113" s="105" t="s">
        <v>89</v>
      </c>
      <c r="B113" s="162">
        <v>35</v>
      </c>
      <c r="C113" s="99">
        <v>64.3</v>
      </c>
      <c r="D113" s="97"/>
      <c r="E113" s="98">
        <f>D113/D107*100</f>
        <v>0</v>
      </c>
      <c r="F113" s="98">
        <f t="shared" si="16"/>
        <v>0</v>
      </c>
      <c r="G113" s="98">
        <f t="shared" si="13"/>
        <v>0</v>
      </c>
      <c r="H113" s="99">
        <f t="shared" si="17"/>
        <v>35</v>
      </c>
      <c r="I113" s="99">
        <f t="shared" si="15"/>
        <v>64.3</v>
      </c>
      <c r="K113" s="176"/>
      <c r="L113" s="180"/>
      <c r="M113" s="165"/>
    </row>
    <row r="114" spans="1:13" s="93" customFormat="1" ht="36.75">
      <c r="A114" s="105" t="s">
        <v>38</v>
      </c>
      <c r="B114" s="162">
        <v>1415.3</v>
      </c>
      <c r="C114" s="99">
        <v>3311.5</v>
      </c>
      <c r="D114" s="97">
        <f>136.4+10+40+6.6+6.1+0.2+177.4+10+1.8+25.1+29.4+48.1+8.1+193.1+10+0.1+17.8+8.8+132.4+79.7+12.6</f>
        <v>953.7</v>
      </c>
      <c r="E114" s="98">
        <f>D114/D107*100</f>
        <v>1.196867587816724</v>
      </c>
      <c r="F114" s="98">
        <f t="shared" si="16"/>
        <v>67.38500671235781</v>
      </c>
      <c r="G114" s="98">
        <f t="shared" si="13"/>
        <v>28.799637626453272</v>
      </c>
      <c r="H114" s="99">
        <f t="shared" si="17"/>
        <v>461.5999999999999</v>
      </c>
      <c r="I114" s="99">
        <f t="shared" si="15"/>
        <v>2357.8</v>
      </c>
      <c r="K114" s="176"/>
      <c r="L114" s="180"/>
      <c r="M114" s="165"/>
    </row>
    <row r="115" spans="1:13" s="93" customFormat="1" ht="18" hidden="1">
      <c r="A115" s="109" t="s">
        <v>43</v>
      </c>
      <c r="B115" s="158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76"/>
      <c r="L115" s="180"/>
      <c r="M115" s="165"/>
    </row>
    <row r="116" spans="1:13" s="94" customFormat="1" ht="18.75" customHeight="1" hidden="1">
      <c r="A116" s="105" t="s">
        <v>90</v>
      </c>
      <c r="B116" s="159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76"/>
      <c r="L116" s="180"/>
      <c r="M116" s="177"/>
    </row>
    <row r="117" spans="1:13" s="93" customFormat="1" ht="36.75">
      <c r="A117" s="105" t="s">
        <v>47</v>
      </c>
      <c r="B117" s="162">
        <v>149</v>
      </c>
      <c r="C117" s="99">
        <v>200</v>
      </c>
      <c r="D117" s="97">
        <v>15</v>
      </c>
      <c r="E117" s="98">
        <f>D117/D107*100</f>
        <v>0.018824592447573518</v>
      </c>
      <c r="F117" s="98">
        <f>D117/B117*100</f>
        <v>10.06711409395973</v>
      </c>
      <c r="G117" s="98">
        <f t="shared" si="13"/>
        <v>7.5</v>
      </c>
      <c r="H117" s="99">
        <f t="shared" si="17"/>
        <v>134</v>
      </c>
      <c r="I117" s="99">
        <f t="shared" si="15"/>
        <v>185</v>
      </c>
      <c r="K117" s="176"/>
      <c r="L117" s="180"/>
      <c r="M117" s="165"/>
    </row>
    <row r="118" spans="1:13" s="111" customFormat="1" ht="18">
      <c r="A118" s="105" t="s">
        <v>15</v>
      </c>
      <c r="B118" s="162">
        <v>261.3</v>
      </c>
      <c r="C118" s="106">
        <v>491.6</v>
      </c>
      <c r="D118" s="97">
        <f>45.4+9.9+47+6.4+0.4+0.4+45.4+0.4+2.9+45.4+4+6.8</f>
        <v>214.40000000000003</v>
      </c>
      <c r="E118" s="98">
        <f>D118/D107*100</f>
        <v>0.2690661747173175</v>
      </c>
      <c r="F118" s="98">
        <f t="shared" si="16"/>
        <v>82.05128205128206</v>
      </c>
      <c r="G118" s="98">
        <f t="shared" si="13"/>
        <v>43.61269324654191</v>
      </c>
      <c r="H118" s="99">
        <f t="shared" si="17"/>
        <v>46.89999999999998</v>
      </c>
      <c r="I118" s="99">
        <f t="shared" si="15"/>
        <v>277.2</v>
      </c>
      <c r="K118" s="176"/>
      <c r="L118" s="180"/>
      <c r="M118" s="181"/>
    </row>
    <row r="119" spans="1:13" s="112" customFormat="1" ht="18">
      <c r="A119" s="109" t="s">
        <v>43</v>
      </c>
      <c r="B119" s="161">
        <v>227.1</v>
      </c>
      <c r="C119" s="102">
        <v>408.8</v>
      </c>
      <c r="D119" s="103">
        <f>45.4+45.4+45.4+45.4</f>
        <v>181.6</v>
      </c>
      <c r="E119" s="104">
        <f>D119/D118*100</f>
        <v>84.70149253731341</v>
      </c>
      <c r="F119" s="104">
        <f t="shared" si="16"/>
        <v>79.96477322765301</v>
      </c>
      <c r="G119" s="104">
        <f t="shared" si="13"/>
        <v>44.422700587084144</v>
      </c>
      <c r="H119" s="102">
        <f t="shared" si="17"/>
        <v>45.5</v>
      </c>
      <c r="I119" s="102">
        <f t="shared" si="15"/>
        <v>227.20000000000002</v>
      </c>
      <c r="K119" s="176"/>
      <c r="L119" s="180"/>
      <c r="M119" s="182"/>
    </row>
    <row r="120" spans="1:13" s="111" customFormat="1" ht="18">
      <c r="A120" s="105" t="s">
        <v>105</v>
      </c>
      <c r="B120" s="162">
        <v>85</v>
      </c>
      <c r="C120" s="106">
        <v>317</v>
      </c>
      <c r="D120" s="97"/>
      <c r="E120" s="98">
        <f>D120/D107*100</f>
        <v>0</v>
      </c>
      <c r="F120" s="98">
        <f t="shared" si="16"/>
        <v>0</v>
      </c>
      <c r="G120" s="98">
        <f t="shared" si="13"/>
        <v>0</v>
      </c>
      <c r="H120" s="99">
        <f t="shared" si="17"/>
        <v>85</v>
      </c>
      <c r="I120" s="99">
        <f t="shared" si="15"/>
        <v>317</v>
      </c>
      <c r="K120" s="176"/>
      <c r="L120" s="180"/>
      <c r="M120" s="181"/>
    </row>
    <row r="121" spans="1:13" s="111" customFormat="1" ht="21.75" customHeight="1">
      <c r="A121" s="105" t="s">
        <v>94</v>
      </c>
      <c r="B121" s="162">
        <v>480</v>
      </c>
      <c r="C121" s="106">
        <f>480+80</f>
        <v>560</v>
      </c>
      <c r="D121" s="107">
        <f>12</f>
        <v>12</v>
      </c>
      <c r="E121" s="110">
        <f>D121/D107*100</f>
        <v>0.015059673958058814</v>
      </c>
      <c r="F121" s="98">
        <f t="shared" si="16"/>
        <v>2.5</v>
      </c>
      <c r="G121" s="98">
        <f t="shared" si="13"/>
        <v>2.142857142857143</v>
      </c>
      <c r="H121" s="99">
        <f t="shared" si="17"/>
        <v>468</v>
      </c>
      <c r="I121" s="99">
        <f t="shared" si="15"/>
        <v>548</v>
      </c>
      <c r="K121" s="176"/>
      <c r="L121" s="180"/>
      <c r="M121" s="181"/>
    </row>
    <row r="122" spans="1:13" s="114" customFormat="1" ht="18" hidden="1">
      <c r="A122" s="100" t="s">
        <v>80</v>
      </c>
      <c r="B122" s="158"/>
      <c r="C122" s="102"/>
      <c r="D122" s="103"/>
      <c r="E122" s="98"/>
      <c r="F122" s="113" t="e">
        <f>D122/B122*100</f>
        <v>#DIV/0!</v>
      </c>
      <c r="G122" s="104" t="e">
        <f t="shared" si="13"/>
        <v>#DIV/0!</v>
      </c>
      <c r="H122" s="102">
        <f t="shared" si="17"/>
        <v>0</v>
      </c>
      <c r="I122" s="102">
        <f t="shared" si="15"/>
        <v>0</v>
      </c>
      <c r="K122" s="176"/>
      <c r="L122" s="180"/>
      <c r="M122" s="183"/>
    </row>
    <row r="123" spans="1:13" s="114" customFormat="1" ht="18" hidden="1">
      <c r="A123" s="100" t="s">
        <v>49</v>
      </c>
      <c r="B123" s="158"/>
      <c r="C123" s="102"/>
      <c r="D123" s="103"/>
      <c r="E123" s="98"/>
      <c r="F123" s="104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76"/>
      <c r="L123" s="180"/>
      <c r="M123" s="183"/>
    </row>
    <row r="124" spans="1:13" s="111" customFormat="1" ht="36.75">
      <c r="A124" s="105" t="s">
        <v>95</v>
      </c>
      <c r="B124" s="162">
        <v>19961</v>
      </c>
      <c r="C124" s="106">
        <v>45511.3</v>
      </c>
      <c r="D124" s="107">
        <f>3529.6+2264.3+1265.3+2996.5+533.1+738.7+2380.2+1722.3+1049.4+1874.1</f>
        <v>18353.5</v>
      </c>
      <c r="E124" s="110">
        <f>D124/D107*100</f>
        <v>23.033143832436036</v>
      </c>
      <c r="F124" s="98">
        <f t="shared" si="16"/>
        <v>91.94679625269275</v>
      </c>
      <c r="G124" s="98">
        <f t="shared" si="13"/>
        <v>40.327347274193436</v>
      </c>
      <c r="H124" s="99">
        <f t="shared" si="17"/>
        <v>1607.5</v>
      </c>
      <c r="I124" s="99">
        <f t="shared" si="15"/>
        <v>27157.800000000003</v>
      </c>
      <c r="K124" s="176"/>
      <c r="L124" s="180"/>
      <c r="M124" s="181"/>
    </row>
    <row r="125" spans="1:13" s="111" customFormat="1" ht="18">
      <c r="A125" s="105" t="s">
        <v>91</v>
      </c>
      <c r="B125" s="162">
        <v>100</v>
      </c>
      <c r="C125" s="106">
        <v>700</v>
      </c>
      <c r="D125" s="107"/>
      <c r="E125" s="110">
        <f>D125/D107*100</f>
        <v>0</v>
      </c>
      <c r="F125" s="98">
        <f t="shared" si="16"/>
        <v>0</v>
      </c>
      <c r="G125" s="98">
        <f t="shared" si="13"/>
        <v>0</v>
      </c>
      <c r="H125" s="99">
        <f t="shared" si="17"/>
        <v>100</v>
      </c>
      <c r="I125" s="99">
        <f t="shared" si="15"/>
        <v>700</v>
      </c>
      <c r="K125" s="176"/>
      <c r="L125" s="180"/>
      <c r="M125" s="181"/>
    </row>
    <row r="126" spans="1:13" s="111" customFormat="1" ht="36.75">
      <c r="A126" s="105" t="s">
        <v>100</v>
      </c>
      <c r="B126" s="162">
        <v>200</v>
      </c>
      <c r="C126" s="106">
        <v>200</v>
      </c>
      <c r="D126" s="107"/>
      <c r="E126" s="110">
        <f>D126/D107*100</f>
        <v>0</v>
      </c>
      <c r="F126" s="98">
        <f t="shared" si="16"/>
        <v>0</v>
      </c>
      <c r="G126" s="98">
        <f t="shared" si="13"/>
        <v>0</v>
      </c>
      <c r="H126" s="99">
        <f t="shared" si="17"/>
        <v>200</v>
      </c>
      <c r="I126" s="99">
        <f t="shared" si="15"/>
        <v>200</v>
      </c>
      <c r="K126" s="176"/>
      <c r="L126" s="180"/>
      <c r="M126" s="181"/>
    </row>
    <row r="127" spans="1:13" s="111" customFormat="1" ht="36.75">
      <c r="A127" s="105" t="s">
        <v>85</v>
      </c>
      <c r="B127" s="162">
        <v>74</v>
      </c>
      <c r="C127" s="106">
        <f>111.1</f>
        <v>111.1</v>
      </c>
      <c r="D127" s="107"/>
      <c r="E127" s="110">
        <f>D127/D107*100</f>
        <v>0</v>
      </c>
      <c r="F127" s="98">
        <f t="shared" si="16"/>
        <v>0</v>
      </c>
      <c r="G127" s="98">
        <f t="shared" si="13"/>
        <v>0</v>
      </c>
      <c r="H127" s="99">
        <f t="shared" si="17"/>
        <v>74</v>
      </c>
      <c r="I127" s="99">
        <f t="shared" si="15"/>
        <v>111.1</v>
      </c>
      <c r="K127" s="176"/>
      <c r="L127" s="180"/>
      <c r="M127" s="181"/>
    </row>
    <row r="128" spans="1:13" s="111" customFormat="1" ht="18" hidden="1">
      <c r="A128" s="109" t="s">
        <v>83</v>
      </c>
      <c r="B128" s="159"/>
      <c r="C128" s="106"/>
      <c r="D128" s="107"/>
      <c r="E128" s="110">
        <f>D128/D108*100</f>
        <v>0</v>
      </c>
      <c r="F128" s="98" t="e">
        <f t="shared" si="16"/>
        <v>#DIV/0!</v>
      </c>
      <c r="G128" s="98" t="e">
        <f t="shared" si="13"/>
        <v>#DIV/0!</v>
      </c>
      <c r="H128" s="99">
        <f t="shared" si="17"/>
        <v>0</v>
      </c>
      <c r="I128" s="99">
        <f t="shared" si="15"/>
        <v>0</v>
      </c>
      <c r="K128" s="176"/>
      <c r="L128" s="180"/>
      <c r="M128" s="181"/>
    </row>
    <row r="129" spans="1:13" s="111" customFormat="1" ht="36.75">
      <c r="A129" s="105" t="s">
        <v>57</v>
      </c>
      <c r="B129" s="162">
        <v>248.4</v>
      </c>
      <c r="C129" s="106">
        <v>942</v>
      </c>
      <c r="D129" s="107">
        <f>7+4.2+0.1+12.3+0.2+7.1+17.8+14.9+1.7+0.1+7.4+7+2.7+3.7+7.1+5.3+31.3</f>
        <v>129.9</v>
      </c>
      <c r="E129" s="110">
        <f>D129/D107*100</f>
        <v>0.16302097059598666</v>
      </c>
      <c r="F129" s="98">
        <f t="shared" si="16"/>
        <v>52.29468599033817</v>
      </c>
      <c r="G129" s="98">
        <f t="shared" si="13"/>
        <v>13.789808917197451</v>
      </c>
      <c r="H129" s="99">
        <f t="shared" si="17"/>
        <v>118.5</v>
      </c>
      <c r="I129" s="99">
        <f t="shared" si="15"/>
        <v>812.1</v>
      </c>
      <c r="K129" s="176"/>
      <c r="L129" s="180"/>
      <c r="M129" s="181"/>
    </row>
    <row r="130" spans="1:13" s="112" customFormat="1" ht="18">
      <c r="A130" s="100" t="s">
        <v>88</v>
      </c>
      <c r="B130" s="161">
        <v>52.95</v>
      </c>
      <c r="C130" s="102">
        <v>510.8</v>
      </c>
      <c r="D130" s="103">
        <f>7+7.1+7+7.1</f>
        <v>28.200000000000003</v>
      </c>
      <c r="E130" s="104">
        <f>D130/D129*100</f>
        <v>21.709006928406467</v>
      </c>
      <c r="F130" s="104">
        <f>D130/B130*100</f>
        <v>53.25779036827196</v>
      </c>
      <c r="G130" s="104">
        <f t="shared" si="13"/>
        <v>5.520751761942052</v>
      </c>
      <c r="H130" s="102">
        <f t="shared" si="17"/>
        <v>24.75</v>
      </c>
      <c r="I130" s="102">
        <f t="shared" si="15"/>
        <v>482.6</v>
      </c>
      <c r="K130" s="176"/>
      <c r="L130" s="180"/>
      <c r="M130" s="182"/>
    </row>
    <row r="131" spans="1:13" s="111" customFormat="1" ht="36.75">
      <c r="A131" s="105" t="s">
        <v>103</v>
      </c>
      <c r="B131" s="162">
        <v>160</v>
      </c>
      <c r="C131" s="106">
        <v>485</v>
      </c>
      <c r="D131" s="107"/>
      <c r="E131" s="110">
        <f>D131/D107*100</f>
        <v>0</v>
      </c>
      <c r="F131" s="108">
        <f t="shared" si="16"/>
        <v>0</v>
      </c>
      <c r="G131" s="98">
        <f t="shared" si="13"/>
        <v>0</v>
      </c>
      <c r="H131" s="99">
        <f t="shared" si="17"/>
        <v>160</v>
      </c>
      <c r="I131" s="99">
        <f t="shared" si="15"/>
        <v>485</v>
      </c>
      <c r="K131" s="176"/>
      <c r="L131" s="180"/>
      <c r="M131" s="181"/>
    </row>
    <row r="132" spans="1:13" s="112" customFormat="1" ht="18" hidden="1">
      <c r="A132" s="109" t="s">
        <v>43</v>
      </c>
      <c r="B132" s="158"/>
      <c r="C132" s="102"/>
      <c r="D132" s="103"/>
      <c r="E132" s="104"/>
      <c r="F132" s="104" t="e">
        <f>D132/B132*100</f>
        <v>#DIV/0!</v>
      </c>
      <c r="G132" s="104" t="e">
        <f t="shared" si="13"/>
        <v>#DIV/0!</v>
      </c>
      <c r="H132" s="102">
        <f t="shared" si="17"/>
        <v>0</v>
      </c>
      <c r="I132" s="102">
        <f t="shared" si="15"/>
        <v>0</v>
      </c>
      <c r="K132" s="176"/>
      <c r="L132" s="180"/>
      <c r="M132" s="182"/>
    </row>
    <row r="133" spans="1:13" s="111" customFormat="1" ht="35.25" customHeight="1" hidden="1">
      <c r="A133" s="105" t="s">
        <v>102</v>
      </c>
      <c r="B133" s="159"/>
      <c r="C133" s="106"/>
      <c r="D133" s="107"/>
      <c r="E133" s="110">
        <f>D133/D107*100</f>
        <v>0</v>
      </c>
      <c r="F133" s="98" t="e">
        <f t="shared" si="16"/>
        <v>#DIV/0!</v>
      </c>
      <c r="G133" s="98" t="e">
        <f t="shared" si="13"/>
        <v>#DIV/0!</v>
      </c>
      <c r="H133" s="99">
        <f t="shared" si="17"/>
        <v>0</v>
      </c>
      <c r="I133" s="99">
        <f>C133-D133</f>
        <v>0</v>
      </c>
      <c r="K133" s="176"/>
      <c r="L133" s="180"/>
      <c r="M133" s="181"/>
    </row>
    <row r="134" spans="1:13" s="111" customFormat="1" ht="21.75" customHeight="1" hidden="1">
      <c r="A134" s="105" t="s">
        <v>101</v>
      </c>
      <c r="B134" s="159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 t="shared" si="15"/>
        <v>0</v>
      </c>
      <c r="K134" s="176"/>
      <c r="L134" s="180"/>
      <c r="M134" s="181"/>
    </row>
    <row r="135" spans="1:13" s="111" customFormat="1" ht="35.25" customHeight="1">
      <c r="A135" s="105" t="s">
        <v>87</v>
      </c>
      <c r="B135" s="162">
        <v>140</v>
      </c>
      <c r="C135" s="106">
        <v>383.2</v>
      </c>
      <c r="D135" s="107">
        <f>2.9+1.5+9.7</f>
        <v>14.1</v>
      </c>
      <c r="E135" s="110">
        <f>D135/D107*100</f>
        <v>0.017695116900719107</v>
      </c>
      <c r="F135" s="98">
        <f t="shared" si="16"/>
        <v>10.071428571428571</v>
      </c>
      <c r="G135" s="98">
        <f t="shared" si="13"/>
        <v>3.6795407098121085</v>
      </c>
      <c r="H135" s="99">
        <f t="shared" si="17"/>
        <v>125.9</v>
      </c>
      <c r="I135" s="99">
        <f t="shared" si="15"/>
        <v>369.09999999999997</v>
      </c>
      <c r="K135" s="176"/>
      <c r="L135" s="180"/>
      <c r="M135" s="181"/>
    </row>
    <row r="136" spans="1:13" s="111" customFormat="1" ht="39" customHeight="1">
      <c r="A136" s="105" t="s">
        <v>54</v>
      </c>
      <c r="B136" s="162">
        <v>80</v>
      </c>
      <c r="C136" s="106">
        <v>350</v>
      </c>
      <c r="D136" s="107"/>
      <c r="E136" s="110">
        <f>D136/D107*100</f>
        <v>0</v>
      </c>
      <c r="F136" s="98">
        <f t="shared" si="16"/>
        <v>0</v>
      </c>
      <c r="G136" s="98">
        <f t="shared" si="13"/>
        <v>0</v>
      </c>
      <c r="H136" s="99">
        <f t="shared" si="17"/>
        <v>80</v>
      </c>
      <c r="I136" s="99">
        <f t="shared" si="15"/>
        <v>350</v>
      </c>
      <c r="K136" s="176"/>
      <c r="L136" s="180"/>
      <c r="M136" s="181"/>
    </row>
    <row r="137" spans="1:13" s="112" customFormat="1" ht="18">
      <c r="A137" s="100" t="s">
        <v>88</v>
      </c>
      <c r="B137" s="161">
        <v>26</v>
      </c>
      <c r="C137" s="102">
        <v>110</v>
      </c>
      <c r="D137" s="103"/>
      <c r="E137" s="104"/>
      <c r="F137" s="98">
        <f>D137/B137*100</f>
        <v>0</v>
      </c>
      <c r="G137" s="104">
        <f>D137/C137*100</f>
        <v>0</v>
      </c>
      <c r="H137" s="102">
        <f>B137-D137</f>
        <v>26</v>
      </c>
      <c r="I137" s="102">
        <f>C137-D137</f>
        <v>110</v>
      </c>
      <c r="K137" s="176"/>
      <c r="L137" s="180"/>
      <c r="M137" s="182"/>
    </row>
    <row r="138" spans="1:13" s="111" customFormat="1" ht="32.25" customHeight="1">
      <c r="A138" s="105" t="s">
        <v>84</v>
      </c>
      <c r="B138" s="162">
        <v>304.5</v>
      </c>
      <c r="C138" s="106">
        <v>607.7</v>
      </c>
      <c r="D138" s="107">
        <f>76+0.3+41+44+1.8+16.3+2.4</f>
        <v>181.80000000000004</v>
      </c>
      <c r="E138" s="110">
        <f>D138/D107*100</f>
        <v>0.22815406046459108</v>
      </c>
      <c r="F138" s="98">
        <f>D138/B138*100</f>
        <v>59.704433497536954</v>
      </c>
      <c r="G138" s="98">
        <f>D138/C138*100</f>
        <v>29.916077011683402</v>
      </c>
      <c r="H138" s="99">
        <f t="shared" si="17"/>
        <v>122.69999999999996</v>
      </c>
      <c r="I138" s="99">
        <f t="shared" si="15"/>
        <v>425.9</v>
      </c>
      <c r="K138" s="176"/>
      <c r="L138" s="180"/>
      <c r="M138" s="181"/>
    </row>
    <row r="139" spans="1:13" s="112" customFormat="1" ht="18">
      <c r="A139" s="100" t="s">
        <v>25</v>
      </c>
      <c r="B139" s="161">
        <v>252</v>
      </c>
      <c r="C139" s="102">
        <v>489.6</v>
      </c>
      <c r="D139" s="103">
        <f>76+37.6+44+1.2+0.7</f>
        <v>159.49999999999997</v>
      </c>
      <c r="E139" s="104">
        <f>D139/D138*100</f>
        <v>87.7337733773377</v>
      </c>
      <c r="F139" s="104">
        <f t="shared" si="16"/>
        <v>63.29365079365078</v>
      </c>
      <c r="G139" s="104">
        <f>D139/C139*100</f>
        <v>32.57761437908496</v>
      </c>
      <c r="H139" s="102">
        <f t="shared" si="17"/>
        <v>92.50000000000003</v>
      </c>
      <c r="I139" s="102">
        <f t="shared" si="15"/>
        <v>330.1</v>
      </c>
      <c r="K139" s="176"/>
      <c r="L139" s="180"/>
      <c r="M139" s="182"/>
    </row>
    <row r="140" spans="1:13" s="111" customFormat="1" ht="18">
      <c r="A140" s="105" t="s">
        <v>96</v>
      </c>
      <c r="B140" s="162">
        <v>711.8</v>
      </c>
      <c r="C140" s="106">
        <v>1760</v>
      </c>
      <c r="D140" s="107">
        <f>107.3+0.4+30.4+78.2+4.1+36.9+117.9+50.5+112.6+5.2</f>
        <v>543.5000000000001</v>
      </c>
      <c r="E140" s="110">
        <f>D140/D107*100</f>
        <v>0.6820777330170805</v>
      </c>
      <c r="F140" s="98">
        <f t="shared" si="16"/>
        <v>76.35571789828606</v>
      </c>
      <c r="G140" s="98">
        <f t="shared" si="13"/>
        <v>30.880681818181827</v>
      </c>
      <c r="H140" s="99">
        <f t="shared" si="17"/>
        <v>168.29999999999984</v>
      </c>
      <c r="I140" s="99">
        <f t="shared" si="15"/>
        <v>1216.5</v>
      </c>
      <c r="K140" s="176"/>
      <c r="L140" s="180"/>
      <c r="M140" s="181"/>
    </row>
    <row r="141" spans="1:13" s="112" customFormat="1" ht="18">
      <c r="A141" s="109" t="s">
        <v>43</v>
      </c>
      <c r="B141" s="161">
        <v>570.5</v>
      </c>
      <c r="C141" s="102">
        <v>1437.4</v>
      </c>
      <c r="D141" s="103">
        <f>107.3+25.4+76+34+76.6+47.2+83.8+4.5</f>
        <v>454.79999999999995</v>
      </c>
      <c r="E141" s="104">
        <f>D141/D140*100</f>
        <v>83.67985280588773</v>
      </c>
      <c r="F141" s="104">
        <f aca="true" t="shared" si="18" ref="F141:F150">D141/B141*100</f>
        <v>79.71954425942155</v>
      </c>
      <c r="G141" s="104">
        <f t="shared" si="13"/>
        <v>31.64046194517879</v>
      </c>
      <c r="H141" s="102">
        <f t="shared" si="17"/>
        <v>115.70000000000005</v>
      </c>
      <c r="I141" s="102">
        <f t="shared" si="15"/>
        <v>982.6000000000001</v>
      </c>
      <c r="K141" s="176"/>
      <c r="L141" s="180"/>
      <c r="M141" s="182"/>
    </row>
    <row r="142" spans="1:13" s="112" customFormat="1" ht="18">
      <c r="A142" s="100" t="s">
        <v>25</v>
      </c>
      <c r="B142" s="161">
        <v>26.7</v>
      </c>
      <c r="C142" s="102">
        <v>40</v>
      </c>
      <c r="D142" s="103">
        <f>0.4+4.9+0.7+4.7+3.3+0.4+0.7</f>
        <v>15.1</v>
      </c>
      <c r="E142" s="104">
        <f>D142/D140*100</f>
        <v>2.7782888684452614</v>
      </c>
      <c r="F142" s="104">
        <f t="shared" si="18"/>
        <v>56.55430711610487</v>
      </c>
      <c r="G142" s="104">
        <f>D142/C142*100</f>
        <v>37.75</v>
      </c>
      <c r="H142" s="102">
        <f t="shared" si="17"/>
        <v>11.6</v>
      </c>
      <c r="I142" s="102">
        <f t="shared" si="15"/>
        <v>24.9</v>
      </c>
      <c r="K142" s="176"/>
      <c r="L142" s="180"/>
      <c r="M142" s="184"/>
    </row>
    <row r="143" spans="1:13" s="111" customFormat="1" ht="33.75" customHeight="1" hidden="1">
      <c r="A143" s="115" t="s">
        <v>56</v>
      </c>
      <c r="B143" s="159"/>
      <c r="C143" s="106"/>
      <c r="D143" s="107"/>
      <c r="E143" s="110">
        <f>D143/D107*100</f>
        <v>0</v>
      </c>
      <c r="F143" s="98" t="e">
        <f t="shared" si="18"/>
        <v>#DIV/0!</v>
      </c>
      <c r="G143" s="98" t="e">
        <f t="shared" si="13"/>
        <v>#DIV/0!</v>
      </c>
      <c r="H143" s="99">
        <f t="shared" si="17"/>
        <v>0</v>
      </c>
      <c r="I143" s="99">
        <f t="shared" si="15"/>
        <v>0</v>
      </c>
      <c r="K143" s="176"/>
      <c r="L143" s="180"/>
      <c r="M143" s="181"/>
    </row>
    <row r="144" spans="1:13" s="111" customFormat="1" ht="18" hidden="1">
      <c r="A144" s="115" t="s">
        <v>92</v>
      </c>
      <c r="B144" s="159"/>
      <c r="C144" s="106"/>
      <c r="D144" s="107"/>
      <c r="E144" s="110">
        <f>D144/D107*100</f>
        <v>0</v>
      </c>
      <c r="F144" s="98" t="e">
        <f>D144/B144*100</f>
        <v>#DIV/0!</v>
      </c>
      <c r="G144" s="98" t="e">
        <f t="shared" si="13"/>
        <v>#DIV/0!</v>
      </c>
      <c r="H144" s="99">
        <f t="shared" si="17"/>
        <v>0</v>
      </c>
      <c r="I144" s="99">
        <f t="shared" si="15"/>
        <v>0</v>
      </c>
      <c r="K144" s="176"/>
      <c r="L144" s="180"/>
      <c r="M144" s="181"/>
    </row>
    <row r="145" spans="1:13" s="111" customFormat="1" ht="18">
      <c r="A145" s="115" t="s">
        <v>97</v>
      </c>
      <c r="B145" s="162">
        <v>18472</v>
      </c>
      <c r="C145" s="106">
        <f>56447.1-100+1500-3000</f>
        <v>54847.1</v>
      </c>
      <c r="D145" s="107">
        <f>254.7+197.5+629.8+725.8+539.8+84+74.2+508.7+16.5+120.5+1481.6+832.6+99.5+375.2+120.4+395.9+31.6+377+15.9+619.7+572.8+566.7+1034</f>
        <v>9674.4</v>
      </c>
      <c r="E145" s="110">
        <f>D145/D107*100</f>
        <v>12.141109144987015</v>
      </c>
      <c r="F145" s="98">
        <f t="shared" si="18"/>
        <v>52.373321784322215</v>
      </c>
      <c r="G145" s="98">
        <f t="shared" si="13"/>
        <v>17.638854196484406</v>
      </c>
      <c r="H145" s="99">
        <f t="shared" si="17"/>
        <v>8797.6</v>
      </c>
      <c r="I145" s="99">
        <f t="shared" si="15"/>
        <v>45172.7</v>
      </c>
      <c r="K145" s="176"/>
      <c r="L145" s="180"/>
      <c r="M145" s="181"/>
    </row>
    <row r="146" spans="1:13" s="111" customFormat="1" ht="18" hidden="1">
      <c r="A146" s="115" t="s">
        <v>86</v>
      </c>
      <c r="B146" s="159"/>
      <c r="C146" s="106"/>
      <c r="D146" s="107"/>
      <c r="E146" s="110">
        <f>D146/D107*100</f>
        <v>0</v>
      </c>
      <c r="F146" s="98" t="e">
        <f t="shared" si="18"/>
        <v>#DIV/0!</v>
      </c>
      <c r="G146" s="98" t="e">
        <f t="shared" si="13"/>
        <v>#DIV/0!</v>
      </c>
      <c r="H146" s="99">
        <f t="shared" si="17"/>
        <v>0</v>
      </c>
      <c r="I146" s="99">
        <f t="shared" si="15"/>
        <v>0</v>
      </c>
      <c r="K146" s="176"/>
      <c r="L146" s="180"/>
      <c r="M146" s="181"/>
    </row>
    <row r="147" spans="1:13" s="111" customFormat="1" ht="36.75" hidden="1">
      <c r="A147" s="115" t="s">
        <v>104</v>
      </c>
      <c r="B147" s="159"/>
      <c r="C147" s="106"/>
      <c r="D147" s="107"/>
      <c r="E147" s="110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6"/>
      <c r="L147" s="180"/>
      <c r="M147" s="181"/>
    </row>
    <row r="148" spans="1:13" s="111" customFormat="1" ht="18">
      <c r="A148" s="105" t="s">
        <v>98</v>
      </c>
      <c r="B148" s="162">
        <v>46.4</v>
      </c>
      <c r="C148" s="106">
        <v>162.3</v>
      </c>
      <c r="D148" s="107">
        <f>46.4</f>
        <v>46.4</v>
      </c>
      <c r="E148" s="110">
        <f>D148/D107*100</f>
        <v>0.05823073930449408</v>
      </c>
      <c r="F148" s="98">
        <f t="shared" si="18"/>
        <v>100</v>
      </c>
      <c r="G148" s="98">
        <f t="shared" si="13"/>
        <v>28.58903265557609</v>
      </c>
      <c r="H148" s="99">
        <f t="shared" si="17"/>
        <v>0</v>
      </c>
      <c r="I148" s="99">
        <f t="shared" si="15"/>
        <v>115.9</v>
      </c>
      <c r="K148" s="176"/>
      <c r="L148" s="180"/>
      <c r="M148" s="181"/>
    </row>
    <row r="149" spans="1:13" s="111" customFormat="1" ht="18" customHeight="1">
      <c r="A149" s="105" t="s">
        <v>77</v>
      </c>
      <c r="B149" s="162">
        <v>5360.2</v>
      </c>
      <c r="C149" s="106">
        <f>10563.8+657.7</f>
        <v>11221.5</v>
      </c>
      <c r="D149" s="107">
        <f>791.9+575.3+777.6+830.9+722.1+47.7+657.7</f>
        <v>4403.2</v>
      </c>
      <c r="E149" s="110">
        <f>D149/D107*100</f>
        <v>5.525896364343714</v>
      </c>
      <c r="F149" s="98">
        <f t="shared" si="18"/>
        <v>82.14618857505317</v>
      </c>
      <c r="G149" s="98">
        <f t="shared" si="13"/>
        <v>39.23896092322773</v>
      </c>
      <c r="H149" s="99">
        <f t="shared" si="17"/>
        <v>957</v>
      </c>
      <c r="I149" s="99">
        <f t="shared" si="15"/>
        <v>6818.3</v>
      </c>
      <c r="K149" s="176"/>
      <c r="L149" s="180"/>
      <c r="M149" s="181"/>
    </row>
    <row r="150" spans="1:13" s="111" customFormat="1" ht="19.5" customHeight="1">
      <c r="A150" s="145" t="s">
        <v>50</v>
      </c>
      <c r="B150" s="164">
        <f>98969.5-105</f>
        <v>98864.5</v>
      </c>
      <c r="C150" s="146">
        <v>350771.5</v>
      </c>
      <c r="D150" s="147">
        <f>27.8+914.6+10874.2+1188.7+864.1+301.6+376.8+206.4+1075.1+354+2650.4+1522.6+53.5+786.8+81.3+1054.7+490+234.6+36.9+5277.5+291.8+23.3</f>
        <v>28686.699999999997</v>
      </c>
      <c r="E150" s="148">
        <f>D150/D107*100</f>
        <v>36.001029077720474</v>
      </c>
      <c r="F150" s="149">
        <f t="shared" si="18"/>
        <v>29.016178709243455</v>
      </c>
      <c r="G150" s="149">
        <f t="shared" si="13"/>
        <v>8.178172970152934</v>
      </c>
      <c r="H150" s="150">
        <f t="shared" si="17"/>
        <v>70177.8</v>
      </c>
      <c r="I150" s="150">
        <f>C150-D150</f>
        <v>322084.8</v>
      </c>
      <c r="K150" s="176"/>
      <c r="L150" s="180"/>
      <c r="M150" s="181"/>
    </row>
    <row r="151" spans="1:13" s="111" customFormat="1" ht="18">
      <c r="A151" s="105" t="s">
        <v>99</v>
      </c>
      <c r="B151" s="162">
        <v>17596.9</v>
      </c>
      <c r="C151" s="106">
        <v>42232</v>
      </c>
      <c r="D151" s="107">
        <f>819+819+819.1+1062.3+1173.1+1173.1+1173.2+1173.1+1173.1+1173.2+1173.1+1173.1+1173.2+1173.1</f>
        <v>15250.700000000003</v>
      </c>
      <c r="E151" s="110">
        <f>D151/D107*100</f>
        <v>19.139214136013965</v>
      </c>
      <c r="F151" s="98">
        <f t="shared" si="16"/>
        <v>86.66696975035376</v>
      </c>
      <c r="G151" s="98">
        <f t="shared" si="13"/>
        <v>36.11171623413526</v>
      </c>
      <c r="H151" s="99">
        <f t="shared" si="17"/>
        <v>2346.199999999999</v>
      </c>
      <c r="I151" s="99">
        <f t="shared" si="15"/>
        <v>26981.299999999996</v>
      </c>
      <c r="K151" s="176"/>
      <c r="L151" s="180"/>
      <c r="M151" s="181"/>
    </row>
    <row r="152" spans="1:13" s="2" customFormat="1" ht="18.75" thickBot="1">
      <c r="A152" s="29" t="s">
        <v>29</v>
      </c>
      <c r="B152" s="163"/>
      <c r="C152" s="63"/>
      <c r="D152" s="44">
        <f>D43+D69+D72+D77+D79+D87+D102+D107+D100+D84+D98</f>
        <v>83682.99999999997</v>
      </c>
      <c r="E152" s="15"/>
      <c r="F152" s="15"/>
      <c r="G152" s="6"/>
      <c r="H152" s="52"/>
      <c r="I152" s="44"/>
      <c r="K152" s="176"/>
      <c r="L152" s="185"/>
      <c r="M152" s="181"/>
    </row>
    <row r="153" spans="1:13" ht="18.75" thickBot="1">
      <c r="A153" s="12" t="s">
        <v>18</v>
      </c>
      <c r="B153" s="40">
        <f>B6+B18+B33+B43+B51+B59+B69+B72+B77+B79+B87+B90+B95+B102+B107+B100+B84+B98+B45</f>
        <v>855900.8899999999</v>
      </c>
      <c r="C153" s="40">
        <f>C6+C18+C33+C43+C51+C59+C69+C72+C77+C79+C87+C90+C95+C102+C107+C100+C84+C98+C45</f>
        <v>2136778.9999999995</v>
      </c>
      <c r="D153" s="40">
        <f>D6+D18+D33+D43+D51+D59+D69+D72+D77+D79+D87+D90+D95+D102+D107+D100+D84+D98+D45</f>
        <v>575822.7999999998</v>
      </c>
      <c r="E153" s="28">
        <v>100</v>
      </c>
      <c r="F153" s="3">
        <f>D153/B153*100</f>
        <v>67.27680818277919</v>
      </c>
      <c r="G153" s="3">
        <f aca="true" t="shared" si="19" ref="G153:G159">D153/C153*100</f>
        <v>26.94816824762879</v>
      </c>
      <c r="H153" s="40">
        <f aca="true" t="shared" si="20" ref="H153:H159">B153-D153</f>
        <v>280078.0900000001</v>
      </c>
      <c r="I153" s="40">
        <f aca="true" t="shared" si="21" ref="I153:I159">C153-D153</f>
        <v>1560956.1999999997</v>
      </c>
      <c r="K153" s="186"/>
      <c r="L153" s="187"/>
      <c r="M153" s="165"/>
    </row>
    <row r="154" spans="1:13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275238.21</v>
      </c>
      <c r="E154" s="6">
        <f>D154/D153*100</f>
        <v>47.79911632536956</v>
      </c>
      <c r="F154" s="6">
        <f aca="true" t="shared" si="22" ref="F154:F159">D154/B154*100</f>
        <v>72.09837201058244</v>
      </c>
      <c r="G154" s="6">
        <f t="shared" si="19"/>
        <v>30.643965001255875</v>
      </c>
      <c r="H154" s="52">
        <f t="shared" si="20"/>
        <v>106515.49999999994</v>
      </c>
      <c r="I154" s="62">
        <f t="shared" si="21"/>
        <v>622942.5900000001</v>
      </c>
      <c r="K154" s="176"/>
      <c r="L154" s="187"/>
      <c r="M154" s="165"/>
    </row>
    <row r="155" spans="1:13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52865.00000000002</v>
      </c>
      <c r="E155" s="6">
        <f>D155/D153*100</f>
        <v>9.180775752540546</v>
      </c>
      <c r="F155" s="6">
        <f t="shared" si="22"/>
        <v>85.88610201543567</v>
      </c>
      <c r="G155" s="6">
        <f t="shared" si="19"/>
        <v>47.813935819977594</v>
      </c>
      <c r="H155" s="52">
        <f>B155-D155</f>
        <v>8687.449999999975</v>
      </c>
      <c r="I155" s="62">
        <f t="shared" si="21"/>
        <v>57698.99999999996</v>
      </c>
      <c r="K155" s="176"/>
      <c r="L155" s="188"/>
      <c r="M155" s="165"/>
    </row>
    <row r="156" spans="1:12" ht="18">
      <c r="A156" s="16" t="s">
        <v>1</v>
      </c>
      <c r="B156" s="51">
        <f>B22+B10+B54+B48+B61+B35+B123</f>
        <v>21077.200000000004</v>
      </c>
      <c r="C156" s="51">
        <f>C22+C10+C54+C48+C61+C35+C123</f>
        <v>45915.9</v>
      </c>
      <c r="D156" s="51">
        <f>D22+D10+D54+D48+D61+D35+D123</f>
        <v>9021.4</v>
      </c>
      <c r="E156" s="6">
        <f>D156/D153*100</f>
        <v>1.5666972547804643</v>
      </c>
      <c r="F156" s="6">
        <f t="shared" si="22"/>
        <v>42.80170041561497</v>
      </c>
      <c r="G156" s="6">
        <f t="shared" si="19"/>
        <v>19.647660178718045</v>
      </c>
      <c r="H156" s="52">
        <f t="shared" si="20"/>
        <v>12055.800000000005</v>
      </c>
      <c r="I156" s="62">
        <f t="shared" si="21"/>
        <v>36894.5</v>
      </c>
      <c r="K156" s="151"/>
      <c r="L156" s="33"/>
    </row>
    <row r="157" spans="1:12" ht="21" customHeight="1">
      <c r="A157" s="16" t="s">
        <v>14</v>
      </c>
      <c r="B157" s="51">
        <f>B12+B24+B104+B63+B38+B93+B130+B56+B137</f>
        <v>10765.55</v>
      </c>
      <c r="C157" s="51">
        <f>C12+C24+C104+C63+C38+C93+C130+C56+C137</f>
        <v>28484.199999999997</v>
      </c>
      <c r="D157" s="51">
        <f>D12+D24+D104+D63+D38+D93+D130+D56+D137</f>
        <v>8040.399999999999</v>
      </c>
      <c r="E157" s="6">
        <f>D157/D153*100</f>
        <v>1.3963323439085775</v>
      </c>
      <c r="F157" s="6">
        <f t="shared" si="22"/>
        <v>74.68638388191964</v>
      </c>
      <c r="G157" s="6">
        <f t="shared" si="19"/>
        <v>28.227578798070507</v>
      </c>
      <c r="H157" s="52">
        <f>B157-D157</f>
        <v>2725.1500000000005</v>
      </c>
      <c r="I157" s="62">
        <f t="shared" si="21"/>
        <v>20443.8</v>
      </c>
      <c r="K157" s="151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9.600000000000001</v>
      </c>
      <c r="E158" s="6">
        <f>D158/D153*100</f>
        <v>0.001667179555932833</v>
      </c>
      <c r="F158" s="6">
        <f t="shared" si="22"/>
        <v>30.37974683544304</v>
      </c>
      <c r="G158" s="6">
        <f t="shared" si="19"/>
        <v>8.488063660477454</v>
      </c>
      <c r="H158" s="52">
        <f t="shared" si="20"/>
        <v>22</v>
      </c>
      <c r="I158" s="62">
        <f t="shared" si="21"/>
        <v>103.5</v>
      </c>
      <c r="K158" s="151"/>
      <c r="L158" s="33"/>
    </row>
    <row r="159" spans="1:12" ht="18.75" thickBot="1">
      <c r="A159" s="88" t="s">
        <v>27</v>
      </c>
      <c r="B159" s="64">
        <f>B153-B154-B155-B156-B157-B158</f>
        <v>380720.37999999995</v>
      </c>
      <c r="C159" s="64">
        <f>C153-C154-C155-C156-C157-C158</f>
        <v>1053520.9999999995</v>
      </c>
      <c r="D159" s="64">
        <f>D153-D154-D155-D156-D157-D158</f>
        <v>230648.18999999977</v>
      </c>
      <c r="E159" s="31">
        <f>D159/D153*100</f>
        <v>40.05541114384492</v>
      </c>
      <c r="F159" s="31">
        <f t="shared" si="22"/>
        <v>60.58204449155041</v>
      </c>
      <c r="G159" s="31">
        <f t="shared" si="19"/>
        <v>21.893079492482816</v>
      </c>
      <c r="H159" s="89">
        <f t="shared" si="20"/>
        <v>150072.19000000018</v>
      </c>
      <c r="I159" s="89">
        <f t="shared" si="21"/>
        <v>822872.8099999998</v>
      </c>
      <c r="K159" s="151"/>
      <c r="L159" s="69"/>
    </row>
    <row r="160" spans="7:8" ht="12.75">
      <c r="G160" s="18"/>
      <c r="H160" s="18"/>
    </row>
    <row r="161" spans="3:11" ht="12.75">
      <c r="C161" s="151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1"/>
      <c r="G164" s="18"/>
      <c r="H164" s="18"/>
    </row>
    <row r="165" spans="2:8" ht="12.75">
      <c r="B165" s="154"/>
      <c r="C165" s="155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1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1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575822.7999999998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575822.7999999998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2018-05-05T08:33:01Z</cp:lastPrinted>
  <dcterms:created xsi:type="dcterms:W3CDTF">2000-06-20T04:48:00Z</dcterms:created>
  <dcterms:modified xsi:type="dcterms:W3CDTF">2018-05-11T04:56:53Z</dcterms:modified>
  <cp:category/>
  <cp:version/>
  <cp:contentType/>
  <cp:contentStatus/>
</cp:coreProperties>
</file>